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06_FORMULARIOS\06.02_Candidaturas\NPN\PTDC 2025\"/>
    </mc:Choice>
  </mc:AlternateContent>
  <xr:revisionPtr revIDLastSave="0" documentId="13_ncr:1_{9BBCCE8E-4E79-44C0-9CDD-9D124C54C1E2}" xr6:coauthVersionLast="36" xr6:coauthVersionMax="47" xr10:uidLastSave="{00000000-0000-0000-0000-000000000000}"/>
  <workbookProtection workbookAlgorithmName="SHA-512" workbookHashValue="HONaWdGpdZt6z8WxeAYiutf6htg2CJtkh4649Gf3CnoMbfT+12dtfcn9rcwg8rmSlN7eKh3V85P8mlHGiuEkCA==" workbookSaltValue="xtA7rqG6o7vnegOPiIF8tA==" workbookSpinCount="100000" lockStructure="1"/>
  <bookViews>
    <workbookView xWindow="0" yWindow="0" windowWidth="17254" windowHeight="5263" tabRatio="664" xr2:uid="{F01E420F-D288-4EFB-B4ED-EF33B9A6369C}"/>
  </bookViews>
  <sheets>
    <sheet name="Introd." sheetId="21" r:id="rId1"/>
    <sheet name="Info" sheetId="17" state="hidden" r:id="rId2"/>
    <sheet name="1.G.Data" sheetId="6" r:id="rId3"/>
    <sheet name="1.1" sheetId="22" state="hidden" r:id="rId4"/>
    <sheet name="2.Inst." sheetId="2" r:id="rId5"/>
    <sheet name="2.1" sheetId="23" state="hidden" r:id="rId6"/>
    <sheet name="3.Tasks" sheetId="8" r:id="rId7"/>
    <sheet name="4.Team" sheetId="3" r:id="rId8"/>
    <sheet name="4.1" sheetId="10" r:id="rId9"/>
    <sheet name="4.2" sheetId="11" r:id="rId10"/>
    <sheet name="CAL_BO" sheetId="12" state="hidden" r:id="rId11"/>
    <sheet name="5.Equipments" sheetId="20" r:id="rId12"/>
    <sheet name="Amortizações" sheetId="19" state="hidden" r:id="rId13"/>
    <sheet name="6.Task-Budget" sheetId="1" state="hidden" r:id="rId14"/>
    <sheet name="6.Other Exp. Categories" sheetId="24" r:id="rId15"/>
    <sheet name="7.Budget" sheetId="13" r:id="rId16"/>
    <sheet name="8.Timeline" sheetId="14" r:id="rId17"/>
    <sheet name="9.Summary" sheetId="15" r:id="rId18"/>
    <sheet name="10.Inquiry for innovative readi" sheetId="25" r:id="rId19"/>
  </sheets>
  <externalReferences>
    <externalReference r:id="rId20"/>
    <externalReference r:id="rId21"/>
    <externalReference r:id="rId22"/>
    <externalReference r:id="rId23"/>
  </externalReferences>
  <definedNames>
    <definedName name="_xlnm._FilterDatabase" localSheetId="6" hidden="1">'3.Tasks'!$A$2:$BG$50</definedName>
    <definedName name="_xlnm._FilterDatabase" localSheetId="7" hidden="1">'4.Team'!$B$2:$C$2</definedName>
    <definedName name="_xlnm._FilterDatabase" localSheetId="13" hidden="1">'6.Task-Budget'!$B$2:$M$47</definedName>
    <definedName name="_xlnm._FilterDatabase" localSheetId="15" hidden="1">'7.Budget'!$A$1:$M$701</definedName>
    <definedName name="_xlnm._FilterDatabase" localSheetId="16" hidden="1">'8.Timeline'!$F$5:$BB$5</definedName>
    <definedName name="_xlnm._FilterDatabase" localSheetId="12" hidden="1">Amortizações!$A$1:$V$240</definedName>
    <definedName name="Área_Científica">[1]!Tabela12[Área Cientifica/FUNDUS]</definedName>
    <definedName name="_xlnm.Print_Area" localSheetId="11">'5.Equipments'!$A$1:$J$23</definedName>
    <definedName name="_xlnm.Print_Area" localSheetId="14">'6.Other Exp. Categories'!$A$1:$G$102</definedName>
    <definedName name="_xlnm.Print_Area" localSheetId="16">'8.Timeline'!$B$1:$BB$29</definedName>
    <definedName name="_xlnm.Print_Area" localSheetId="0">Introd.!$A$1:$E$62</definedName>
    <definedName name="Auto_Contratação">[1]!Tabela23[[Auto contratação IR ]]</definedName>
    <definedName name="COMPENSAÇÃO_CADUCIDADE" localSheetId="14">#REF!</definedName>
    <definedName name="COMPENSAÇÃO_CADUCIDADE" localSheetId="0">#REF!</definedName>
    <definedName name="COMPENSAÇÃO_CADUCIDADE">#REF!</definedName>
    <definedName name="Comunicação">[1]!Tabela8[[Comunicação da Avaliação ao IR ]]</definedName>
    <definedName name="Departamento">[1]!Tabela18[Departamento Ciências]</definedName>
    <definedName name="Faturação">[1]!Tabela20[[Faturado ]]</definedName>
    <definedName name="Financiador">[1]!Tabela9[Financiador]</definedName>
    <definedName name="Gestor">[1]!Tabela24[Gestor de projeto]</definedName>
    <definedName name="Gestor_da_submissão">[1]!Tabela2[Gestor da submissão]</definedName>
    <definedName name="Ind_Membros">#REF!</definedName>
    <definedName name="Inst.AQ" localSheetId="14">'6.Other Exp. Categories'!#REF!</definedName>
    <definedName name="Inst.AQ" localSheetId="0">'[2]6.Other Exp. Categories'!#REF!</definedName>
    <definedName name="Inst.AQ">'[2]6.Other Exp. Categories'!#REF!</definedName>
    <definedName name="Inst.M">'6.Other Exp. Categories'!$E$4:$E$32</definedName>
    <definedName name="Instituição_Proponente">[1]!Tabela11[Instituição Proponente]</definedName>
    <definedName name="IR">[1]!Tabela15[Investigador Responsável na FCiências.ID]</definedName>
    <definedName name="IVA">[1]!Tabela21[IVA]</definedName>
    <definedName name="Núcleo_da_Submissão">[1]!Tabela1[[Núcleo da submissão ]]</definedName>
    <definedName name="Plataforma">[1]!Tabela6[Plataforma]</definedName>
    <definedName name="Programa_de_Financiamento">[1]!Tabela13[Programa de Financiamento]</definedName>
    <definedName name="Resultado">[1]!Tabela7[[Resultado ]]</definedName>
    <definedName name="RH_Diretos">[1]!Tabela22[[Contratos RH diretos previstos ]]</definedName>
    <definedName name="Rub.AQ" localSheetId="14">'6.Other Exp. Categories'!#REF!</definedName>
    <definedName name="Rub.AQ">'[2]6.Other Exp. Categories'!#REF!</definedName>
    <definedName name="Rub.M">'6.Other Exp. Categories'!$B$3:$B$102</definedName>
    <definedName name="SUB._ALIM._11X" localSheetId="14">#REF!</definedName>
    <definedName name="SUB._ALIM._11X" localSheetId="0">#REF!</definedName>
    <definedName name="SUB._ALIM._11X">#REF!</definedName>
    <definedName name="SUB.NATAL" localSheetId="14">#REF!</definedName>
    <definedName name="SUB.NATAL" localSheetId="0">#REF!</definedName>
    <definedName name="SUB.NATAL">#REF!</definedName>
    <definedName name="SUB_FÉRIAS" localSheetId="14">#REF!</definedName>
    <definedName name="SUB_FÉRIAS" localSheetId="0">#REF!</definedName>
    <definedName name="SUB_FÉRIAS">#REF!</definedName>
    <definedName name="Subprograma">[1]!Tabela14[Subprograma FUNDUS]</definedName>
    <definedName name="Tab.AQ" localSheetId="14">'6.Other Exp. Categories'!#REF!</definedName>
    <definedName name="Tab.AQ">'[2]6.Other Exp. Categories'!#REF!</definedName>
    <definedName name="Tab.M">'6.Other Exp. Categories'!$A$3:$E$102</definedName>
    <definedName name="Tab.Val.Bolsas" localSheetId="14">#REF!</definedName>
    <definedName name="Tab.Val.Bolsas" localSheetId="0">#REF!</definedName>
    <definedName name="Tab.Val.Bolsas">#REF!</definedName>
    <definedName name="TabContratados" localSheetId="14">#REF!</definedName>
    <definedName name="TabContratados" localSheetId="0">#REF!</definedName>
    <definedName name="TabContratados">#REF!</definedName>
    <definedName name="Tipo_de_Contrato">[1]!Tabela5[Tipo de Contrato de prestação de serviço]</definedName>
    <definedName name="Tipologia_de_Projeto">[1]!Tabela4[Tipologia de Projeto]</definedName>
    <definedName name="_xlnm.Print_Titles" localSheetId="14">'6.Other Exp. Categories'!$1:$2</definedName>
    <definedName name="TOTAL" localSheetId="14">#REF!</definedName>
    <definedName name="TOTAL" localSheetId="0">#REF!</definedName>
    <definedName name="TOTAL">#REF!</definedName>
    <definedName name="Unidade">[1]!Tabela16[Unidade Associada]</definedName>
    <definedName name="V.AQ" localSheetId="14">'6.Other Exp. Categories'!#REF!</definedName>
    <definedName name="V.AQ" localSheetId="0">'[2]6.Other Exp. Categories'!#REF!</definedName>
    <definedName name="V.AQ">'[2]6.Other Exp. Categories'!#REF!</definedName>
    <definedName name="V.M">'6.Other Exp. Categories'!$C$3:$C$102</definedName>
    <definedName name="Vencimento" localSheetId="14">#REF!</definedName>
    <definedName name="Vencimento" localSheetId="0">#REF!</definedName>
    <definedName name="Vencimento">#REF!</definedName>
    <definedName name="Vínculo">[1]!Tabela19[Vínculo Laboral]</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8" i="13" l="1"/>
  <c r="U36" i="13" l="1"/>
  <c r="U33" i="13"/>
  <c r="BF69" i="3" l="1"/>
  <c r="BG68" i="3"/>
  <c r="BH68" i="3"/>
  <c r="BI68" i="3"/>
  <c r="BJ68" i="3"/>
  <c r="BK68" i="3"/>
  <c r="BL68" i="3"/>
  <c r="BM68" i="3"/>
  <c r="BN68" i="3"/>
  <c r="BO68" i="3"/>
  <c r="BP68" i="3"/>
  <c r="BQ68" i="3"/>
  <c r="BR68" i="3"/>
  <c r="BS68" i="3"/>
  <c r="BT68" i="3"/>
  <c r="BU68" i="3"/>
  <c r="BV68" i="3"/>
  <c r="BW68" i="3"/>
  <c r="BX68" i="3"/>
  <c r="BY68" i="3"/>
  <c r="BF68" i="3"/>
  <c r="CB3" i="15" l="1"/>
  <c r="BB5" i="14"/>
  <c r="AS5" i="14"/>
  <c r="AT5" i="14" s="1"/>
  <c r="AU5" i="14" s="1"/>
  <c r="AV5" i="14" s="1"/>
  <c r="AW5" i="14" s="1"/>
  <c r="AX5" i="14" s="1"/>
  <c r="AY5" i="14" s="1"/>
  <c r="AZ5" i="14" s="1"/>
  <c r="BA5" i="14" s="1"/>
  <c r="AR5" i="14"/>
  <c r="AQ5" i="14"/>
  <c r="F3" i="20" l="1"/>
  <c r="F21" i="20"/>
  <c r="B72" i="3"/>
  <c r="BI69" i="3"/>
  <c r="BJ69" i="3"/>
  <c r="BK69" i="3"/>
  <c r="BL69" i="3"/>
  <c r="BM69" i="3"/>
  <c r="BN69" i="3"/>
  <c r="BO69" i="3"/>
  <c r="BP69" i="3"/>
  <c r="BQ69" i="3"/>
  <c r="BR69" i="3"/>
  <c r="BS69" i="3"/>
  <c r="BT69" i="3"/>
  <c r="BU69" i="3"/>
  <c r="BV69" i="3"/>
  <c r="BW69" i="3"/>
  <c r="BX69" i="3"/>
  <c r="BY69" i="3"/>
  <c r="BY67" i="3"/>
  <c r="BG67" i="3"/>
  <c r="BG69" i="3" s="1"/>
  <c r="BH67" i="3"/>
  <c r="BH69" i="3" s="1"/>
  <c r="BI67" i="3"/>
  <c r="BJ67" i="3"/>
  <c r="BK67" i="3"/>
  <c r="BL67" i="3"/>
  <c r="BM67" i="3"/>
  <c r="BN67" i="3"/>
  <c r="BO67" i="3"/>
  <c r="BP67" i="3"/>
  <c r="BQ67" i="3"/>
  <c r="BR67" i="3"/>
  <c r="BS67" i="3"/>
  <c r="BT67" i="3"/>
  <c r="BU67" i="3"/>
  <c r="BV67" i="3"/>
  <c r="BW67" i="3"/>
  <c r="BX67" i="3"/>
  <c r="BF67" i="3"/>
  <c r="BI66" i="3"/>
  <c r="BJ66" i="3"/>
  <c r="BK66" i="3"/>
  <c r="BL66" i="3"/>
  <c r="BM66" i="3"/>
  <c r="BN66" i="3"/>
  <c r="BO66" i="3"/>
  <c r="BP66" i="3"/>
  <c r="BQ66" i="3"/>
  <c r="BR66" i="3"/>
  <c r="BS66" i="3"/>
  <c r="BT66" i="3"/>
  <c r="BU66" i="3"/>
  <c r="BV66" i="3"/>
  <c r="BW66" i="3"/>
  <c r="BX66" i="3"/>
  <c r="BY66" i="3"/>
  <c r="BQ3" i="15"/>
  <c r="CA3" i="15"/>
  <c r="BZ3" i="15"/>
  <c r="BY3" i="15"/>
  <c r="BW3" i="15"/>
  <c r="BX3" i="15"/>
  <c r="BV3" i="15"/>
  <c r="BU3" i="15"/>
  <c r="BT3" i="15"/>
  <c r="BS3" i="15"/>
  <c r="BO3" i="15"/>
  <c r="BR3" i="15"/>
  <c r="BP3" i="15"/>
  <c r="BN3" i="15"/>
  <c r="BM3" i="15"/>
  <c r="BL3" i="15"/>
  <c r="BK3" i="15"/>
  <c r="BJ3" i="15"/>
  <c r="A66" i="21" l="1"/>
  <c r="D27" i="2"/>
  <c r="D25" i="2"/>
  <c r="D23" i="2"/>
  <c r="D21" i="2"/>
  <c r="D19" i="2"/>
  <c r="D17" i="2"/>
  <c r="D15" i="2"/>
  <c r="D13" i="2"/>
  <c r="D11" i="2"/>
  <c r="D9" i="2"/>
  <c r="AA33" i="13" l="1"/>
  <c r="S68" i="13" l="1"/>
  <c r="B35" i="6"/>
  <c r="B3" i="2"/>
  <c r="S64" i="13"/>
  <c r="S46" i="13"/>
  <c r="S47" i="13"/>
  <c r="S48" i="13"/>
  <c r="S49" i="13"/>
  <c r="S50" i="13"/>
  <c r="S51" i="13"/>
  <c r="S52" i="13"/>
  <c r="S53" i="13"/>
  <c r="S54" i="13"/>
  <c r="S55" i="13"/>
  <c r="S56" i="13"/>
  <c r="S57" i="13"/>
  <c r="S58" i="13"/>
  <c r="S59" i="13"/>
  <c r="S60" i="13"/>
  <c r="S61" i="13"/>
  <c r="S62" i="13"/>
  <c r="S63" i="13"/>
  <c r="S45" i="13"/>
  <c r="AF21" i="13"/>
  <c r="AF44" i="13" s="1"/>
  <c r="F603" i="13" l="1"/>
  <c r="F604" i="13"/>
  <c r="F605" i="13"/>
  <c r="F606" i="13"/>
  <c r="F607" i="13"/>
  <c r="F608" i="13"/>
  <c r="F609" i="13"/>
  <c r="F610" i="13"/>
  <c r="F611" i="13"/>
  <c r="F612" i="13"/>
  <c r="F613" i="13"/>
  <c r="F614" i="13"/>
  <c r="F615" i="13"/>
  <c r="F616" i="13"/>
  <c r="F617" i="13"/>
  <c r="F618" i="13"/>
  <c r="F619" i="13"/>
  <c r="F620" i="13"/>
  <c r="F621" i="13"/>
  <c r="F622" i="13"/>
  <c r="F623" i="13"/>
  <c r="F624" i="13"/>
  <c r="F625" i="13"/>
  <c r="F626" i="13"/>
  <c r="F627" i="13"/>
  <c r="F628" i="13"/>
  <c r="F629" i="13"/>
  <c r="F630" i="13"/>
  <c r="F631" i="13"/>
  <c r="F632" i="13"/>
  <c r="F633" i="13"/>
  <c r="F634" i="13"/>
  <c r="F635" i="13"/>
  <c r="F636" i="13"/>
  <c r="F637" i="13"/>
  <c r="F638" i="13"/>
  <c r="F639" i="13"/>
  <c r="F640" i="13"/>
  <c r="F641" i="13"/>
  <c r="F642" i="13"/>
  <c r="F643" i="13"/>
  <c r="F644" i="13"/>
  <c r="F645" i="13"/>
  <c r="F646" i="13"/>
  <c r="F647" i="13"/>
  <c r="F648" i="13"/>
  <c r="F649" i="13"/>
  <c r="F650" i="13"/>
  <c r="F651" i="13"/>
  <c r="F652" i="13"/>
  <c r="F653" i="13"/>
  <c r="F654" i="13"/>
  <c r="F655" i="13"/>
  <c r="F656" i="13"/>
  <c r="F657" i="13"/>
  <c r="F658" i="13"/>
  <c r="F659" i="13"/>
  <c r="F660" i="13"/>
  <c r="F661" i="13"/>
  <c r="F662" i="13"/>
  <c r="F663" i="13"/>
  <c r="F664" i="13"/>
  <c r="F665" i="13"/>
  <c r="F666" i="13"/>
  <c r="F667" i="13"/>
  <c r="F668" i="13"/>
  <c r="F669" i="13"/>
  <c r="F670" i="13"/>
  <c r="F671" i="13"/>
  <c r="F672" i="13"/>
  <c r="F673" i="13"/>
  <c r="F674" i="13"/>
  <c r="F675" i="13"/>
  <c r="F676" i="13"/>
  <c r="F677" i="13"/>
  <c r="F678" i="13"/>
  <c r="F679" i="13"/>
  <c r="F680" i="13"/>
  <c r="F681" i="13"/>
  <c r="F682" i="13"/>
  <c r="F683" i="13"/>
  <c r="F684" i="13"/>
  <c r="F685" i="13"/>
  <c r="F686" i="13"/>
  <c r="F687" i="13"/>
  <c r="F688" i="13"/>
  <c r="F689" i="13"/>
  <c r="F690" i="13"/>
  <c r="F691" i="13"/>
  <c r="F692" i="13"/>
  <c r="F693" i="13"/>
  <c r="F694" i="13"/>
  <c r="F695" i="13"/>
  <c r="F696" i="13"/>
  <c r="F697" i="13"/>
  <c r="F698" i="13"/>
  <c r="F699" i="13"/>
  <c r="F700" i="13"/>
  <c r="F701" i="13"/>
  <c r="F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E627" i="13"/>
  <c r="E628" i="13"/>
  <c r="E629" i="13"/>
  <c r="E630" i="13"/>
  <c r="E631" i="13"/>
  <c r="E632" i="13"/>
  <c r="E633" i="13"/>
  <c r="E634" i="13"/>
  <c r="E635" i="13"/>
  <c r="E636" i="13"/>
  <c r="E637" i="13"/>
  <c r="E638" i="13"/>
  <c r="E639" i="13"/>
  <c r="E640" i="13"/>
  <c r="E641" i="13"/>
  <c r="E642" i="13"/>
  <c r="E643" i="13"/>
  <c r="E644" i="13"/>
  <c r="E645" i="13"/>
  <c r="E646" i="13"/>
  <c r="E647" i="13"/>
  <c r="E648" i="13"/>
  <c r="E649" i="13"/>
  <c r="E650" i="13"/>
  <c r="E651" i="13"/>
  <c r="E652" i="13"/>
  <c r="E653" i="13"/>
  <c r="E654" i="13"/>
  <c r="E655" i="13"/>
  <c r="E656" i="13"/>
  <c r="E657" i="13"/>
  <c r="E658" i="13"/>
  <c r="E659" i="13"/>
  <c r="E660" i="13"/>
  <c r="E661" i="13"/>
  <c r="E662" i="13"/>
  <c r="E663" i="13"/>
  <c r="E664" i="13"/>
  <c r="E665" i="13"/>
  <c r="E666" i="13"/>
  <c r="E667" i="13"/>
  <c r="E668" i="13"/>
  <c r="E669" i="13"/>
  <c r="E670" i="13"/>
  <c r="E671" i="13"/>
  <c r="E672" i="13"/>
  <c r="E673" i="13"/>
  <c r="E674" i="13"/>
  <c r="E675" i="13"/>
  <c r="E676" i="13"/>
  <c r="E677" i="13"/>
  <c r="E678" i="13"/>
  <c r="E679" i="13"/>
  <c r="E680" i="13"/>
  <c r="E681" i="13"/>
  <c r="E682" i="13"/>
  <c r="E683" i="13"/>
  <c r="E684" i="13"/>
  <c r="E685" i="13"/>
  <c r="E686" i="13"/>
  <c r="E687" i="13"/>
  <c r="E688" i="13"/>
  <c r="E689" i="13"/>
  <c r="E690" i="13"/>
  <c r="E691" i="13"/>
  <c r="E692" i="13"/>
  <c r="E693" i="13"/>
  <c r="E694" i="13"/>
  <c r="E695" i="13"/>
  <c r="E696" i="13"/>
  <c r="E697" i="13"/>
  <c r="E698" i="13"/>
  <c r="E699" i="13"/>
  <c r="E700" i="13"/>
  <c r="E701" i="13"/>
  <c r="E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602" i="13"/>
  <c r="B603" i="13"/>
  <c r="B604" i="13"/>
  <c r="B605" i="13"/>
  <c r="B606" i="13"/>
  <c r="B607" i="13"/>
  <c r="B608" i="13"/>
  <c r="B609" i="13"/>
  <c r="B610" i="13"/>
  <c r="B611" i="13"/>
  <c r="B612" i="13"/>
  <c r="B613" i="13"/>
  <c r="B614" i="13"/>
  <c r="B615" i="13"/>
  <c r="B616" i="13"/>
  <c r="B617" i="13"/>
  <c r="B618" i="13"/>
  <c r="B619" i="13"/>
  <c r="B620" i="13"/>
  <c r="B621" i="13"/>
  <c r="B622" i="13"/>
  <c r="B623" i="13"/>
  <c r="B624" i="13"/>
  <c r="B625" i="13"/>
  <c r="B626" i="13"/>
  <c r="B627" i="13"/>
  <c r="B628" i="13"/>
  <c r="B629" i="13"/>
  <c r="B630" i="13"/>
  <c r="B631" i="13"/>
  <c r="B632" i="13"/>
  <c r="B633" i="13"/>
  <c r="B634" i="13"/>
  <c r="B635" i="13"/>
  <c r="B636" i="13"/>
  <c r="B637" i="13"/>
  <c r="B638" i="13"/>
  <c r="B639" i="13"/>
  <c r="B640" i="13"/>
  <c r="B641" i="13"/>
  <c r="B642" i="13"/>
  <c r="B643" i="13"/>
  <c r="B644" i="13"/>
  <c r="B645" i="13"/>
  <c r="B646" i="13"/>
  <c r="B647" i="13"/>
  <c r="B648" i="13"/>
  <c r="B649" i="13"/>
  <c r="B650" i="13"/>
  <c r="B651" i="13"/>
  <c r="B652" i="13"/>
  <c r="B653" i="13"/>
  <c r="B654" i="13"/>
  <c r="B655" i="13"/>
  <c r="B656" i="13"/>
  <c r="B657" i="13"/>
  <c r="B658" i="13"/>
  <c r="B659" i="13"/>
  <c r="B660" i="13"/>
  <c r="B661" i="13"/>
  <c r="B662" i="13"/>
  <c r="B663" i="13"/>
  <c r="B664" i="13"/>
  <c r="B665" i="13"/>
  <c r="B666" i="13"/>
  <c r="B667" i="13"/>
  <c r="B668" i="13"/>
  <c r="B669" i="13"/>
  <c r="B670" i="13"/>
  <c r="B671" i="13"/>
  <c r="B672" i="13"/>
  <c r="B673" i="13"/>
  <c r="B674" i="13"/>
  <c r="B675" i="13"/>
  <c r="B676" i="13"/>
  <c r="B677" i="13"/>
  <c r="B678" i="13"/>
  <c r="B679" i="13"/>
  <c r="B680" i="13"/>
  <c r="B681" i="13"/>
  <c r="B682" i="13"/>
  <c r="B683" i="13"/>
  <c r="B684" i="13"/>
  <c r="B685" i="13"/>
  <c r="B686" i="13"/>
  <c r="B687" i="13"/>
  <c r="B688" i="13"/>
  <c r="B689" i="13"/>
  <c r="B690" i="13"/>
  <c r="B691" i="13"/>
  <c r="B692" i="13"/>
  <c r="B693" i="13"/>
  <c r="B694" i="13"/>
  <c r="B695" i="13"/>
  <c r="B696" i="13"/>
  <c r="B697" i="13"/>
  <c r="B698" i="13"/>
  <c r="B699" i="13"/>
  <c r="B700" i="13"/>
  <c r="B701" i="13"/>
  <c r="B602" i="13"/>
  <c r="A602" i="13"/>
  <c r="D202" i="13"/>
  <c r="A583" i="13"/>
  <c r="A563" i="13"/>
  <c r="A543" i="13"/>
  <c r="A523" i="13"/>
  <c r="A503" i="13"/>
  <c r="A483" i="13"/>
  <c r="A463" i="13"/>
  <c r="A443" i="13"/>
  <c r="A423" i="13"/>
  <c r="A403" i="13"/>
  <c r="A383" i="13"/>
  <c r="A363" i="13"/>
  <c r="A343" i="13"/>
  <c r="A323" i="13"/>
  <c r="A303" i="13"/>
  <c r="A283" i="13"/>
  <c r="A263" i="13"/>
  <c r="A243" i="13"/>
  <c r="A223" i="13"/>
  <c r="A203" i="13"/>
  <c r="A204" i="13" s="1"/>
  <c r="A205" i="13" s="1"/>
  <c r="A206" i="13" s="1"/>
  <c r="CH47" i="3"/>
  <c r="CH46" i="3"/>
  <c r="CH45" i="3"/>
  <c r="CH44" i="3"/>
  <c r="CH43" i="3"/>
  <c r="CH35" i="3"/>
  <c r="CH36" i="3"/>
  <c r="CH37" i="3"/>
  <c r="CH38" i="3"/>
  <c r="CH34" i="3"/>
  <c r="BM25" i="8"/>
  <c r="BN25" i="8"/>
  <c r="BO25" i="8"/>
  <c r="BM28" i="8"/>
  <c r="BN28" i="8"/>
  <c r="BO28" i="8"/>
  <c r="BL25" i="8"/>
  <c r="BL28" i="8"/>
  <c r="X15" i="13" l="1"/>
  <c r="W8" i="13"/>
  <c r="U8" i="13"/>
  <c r="W13" i="13"/>
  <c r="V13" i="13"/>
  <c r="U13" i="13"/>
  <c r="W15" i="13"/>
  <c r="X8" i="13"/>
  <c r="U15" i="13"/>
  <c r="X13" i="13"/>
  <c r="V8" i="13"/>
  <c r="U9" i="13"/>
  <c r="V9" i="13"/>
  <c r="X9" i="13"/>
  <c r="W9" i="13"/>
  <c r="V15" i="13"/>
  <c r="A404" i="13"/>
  <c r="A424" i="13"/>
  <c r="A244" i="13"/>
  <c r="A484" i="13"/>
  <c r="A384" i="13"/>
  <c r="A504" i="13"/>
  <c r="D205" i="13"/>
  <c r="A264" i="13"/>
  <c r="A524" i="13"/>
  <c r="D204" i="13"/>
  <c r="D203" i="13"/>
  <c r="A284" i="13"/>
  <c r="A304" i="13"/>
  <c r="A544" i="13"/>
  <c r="A207" i="13"/>
  <c r="D206" i="13"/>
  <c r="A324" i="13"/>
  <c r="A564" i="13"/>
  <c r="A344" i="13"/>
  <c r="A444" i="13"/>
  <c r="A224" i="13"/>
  <c r="A364" i="13"/>
  <c r="A464" i="13"/>
  <c r="A584" i="13"/>
  <c r="C14" i="6"/>
  <c r="H4" i="3" s="1"/>
  <c r="M14" i="6"/>
  <c r="M13" i="6"/>
  <c r="K7" i="6"/>
  <c r="A83" i="2"/>
  <c r="K13" i="6" l="1"/>
  <c r="BF9" i="8"/>
  <c r="BF17" i="8"/>
  <c r="BF10" i="8"/>
  <c r="BF18" i="8"/>
  <c r="BF14" i="8"/>
  <c r="BF7" i="8"/>
  <c r="BF11" i="8"/>
  <c r="BF19" i="8"/>
  <c r="BF13" i="8"/>
  <c r="BF22" i="8"/>
  <c r="BF20" i="8"/>
  <c r="BF12" i="8"/>
  <c r="BF21" i="8"/>
  <c r="BF23" i="8"/>
  <c r="BF15" i="8"/>
  <c r="BF8" i="8"/>
  <c r="BF16" i="8"/>
  <c r="Y8" i="13"/>
  <c r="A425" i="13"/>
  <c r="A426" i="13" s="1"/>
  <c r="Y15" i="13"/>
  <c r="A405" i="13"/>
  <c r="A406" i="13" s="1"/>
  <c r="A545" i="13"/>
  <c r="A385" i="13"/>
  <c r="A565" i="13"/>
  <c r="A585" i="13"/>
  <c r="A305" i="13"/>
  <c r="A525" i="13"/>
  <c r="A265" i="13"/>
  <c r="A465" i="13"/>
  <c r="A285" i="13"/>
  <c r="A445" i="13"/>
  <c r="A325" i="13"/>
  <c r="A485" i="13"/>
  <c r="A365" i="13"/>
  <c r="A225" i="13"/>
  <c r="A345" i="13"/>
  <c r="A208" i="13"/>
  <c r="D207" i="13"/>
  <c r="A505" i="13"/>
  <c r="A245" i="13"/>
  <c r="B233" i="20"/>
  <c r="U45" i="24"/>
  <c r="A53" i="8"/>
  <c r="B31" i="14"/>
  <c r="D2" i="14"/>
  <c r="D1" i="14"/>
  <c r="A209" i="13" l="1"/>
  <c r="D208" i="13"/>
  <c r="A306" i="13"/>
  <c r="A326" i="13"/>
  <c r="A546" i="13"/>
  <c r="A246" i="13"/>
  <c r="A506" i="13"/>
  <c r="A346" i="13"/>
  <c r="A366" i="13"/>
  <c r="A286" i="13"/>
  <c r="A266" i="13"/>
  <c r="A586" i="13"/>
  <c r="A566" i="13"/>
  <c r="A226" i="13"/>
  <c r="A446" i="13"/>
  <c r="A407" i="13"/>
  <c r="A526" i="13"/>
  <c r="A486" i="13"/>
  <c r="A466" i="13"/>
  <c r="A427" i="13"/>
  <c r="A386" i="13"/>
  <c r="BN18" i="10"/>
  <c r="BO18" i="10" s="1"/>
  <c r="BP18" i="10" s="1"/>
  <c r="BQ18" i="10" s="1"/>
  <c r="BR18" i="10" s="1"/>
  <c r="BN20" i="10"/>
  <c r="BO20" i="10" s="1"/>
  <c r="BP20" i="10" s="1"/>
  <c r="BQ20" i="10" s="1"/>
  <c r="BR20" i="10" s="1"/>
  <c r="BN22" i="10"/>
  <c r="BO22" i="10" s="1"/>
  <c r="BP22" i="10" s="1"/>
  <c r="BQ22" i="10" s="1"/>
  <c r="BR22" i="10" s="1"/>
  <c r="BN24" i="10"/>
  <c r="BO24" i="10" s="1"/>
  <c r="BP24" i="10" s="1"/>
  <c r="BQ24" i="10" s="1"/>
  <c r="BR24" i="10" s="1"/>
  <c r="BN25" i="10"/>
  <c r="BO25" i="10" s="1"/>
  <c r="BP25" i="10" s="1"/>
  <c r="BQ25" i="10" s="1"/>
  <c r="BR25" i="10" s="1"/>
  <c r="BN26" i="10"/>
  <c r="BO26" i="10" s="1"/>
  <c r="BP26" i="10" s="1"/>
  <c r="BQ26" i="10" s="1"/>
  <c r="BR26" i="10" s="1"/>
  <c r="BN28" i="10"/>
  <c r="BO28" i="10" s="1"/>
  <c r="BP28" i="10" s="1"/>
  <c r="BQ28" i="10" s="1"/>
  <c r="BR28" i="10" s="1"/>
  <c r="BN30" i="10"/>
  <c r="BO30" i="10" s="1"/>
  <c r="BP30" i="10" s="1"/>
  <c r="BQ30" i="10" s="1"/>
  <c r="BR30" i="10" s="1"/>
  <c r="BN32" i="10"/>
  <c r="BO32" i="10" s="1"/>
  <c r="BP32" i="10" s="1"/>
  <c r="BQ32" i="10" s="1"/>
  <c r="BR32" i="10" s="1"/>
  <c r="BN33" i="10"/>
  <c r="BO33" i="10" s="1"/>
  <c r="BP33" i="10" s="1"/>
  <c r="BQ33" i="10" s="1"/>
  <c r="BR33" i="10" s="1"/>
  <c r="BN34" i="10"/>
  <c r="BO34" i="10" s="1"/>
  <c r="BP34" i="10" s="1"/>
  <c r="BQ34" i="10" s="1"/>
  <c r="BR34" i="10" s="1"/>
  <c r="BN36" i="10"/>
  <c r="BO36" i="10" s="1"/>
  <c r="BP36" i="10" s="1"/>
  <c r="BQ36" i="10" s="1"/>
  <c r="BR36" i="10" s="1"/>
  <c r="BN38" i="10"/>
  <c r="BO38" i="10" s="1"/>
  <c r="BP38" i="10" s="1"/>
  <c r="BQ38" i="10" s="1"/>
  <c r="BR38" i="10" s="1"/>
  <c r="BN40" i="10"/>
  <c r="BO40" i="10" s="1"/>
  <c r="BP40" i="10" s="1"/>
  <c r="BQ40" i="10" s="1"/>
  <c r="BR40" i="10" s="1"/>
  <c r="BN41" i="10"/>
  <c r="BO41" i="10" s="1"/>
  <c r="BP41" i="10" s="1"/>
  <c r="BQ41" i="10" s="1"/>
  <c r="BR41" i="10" s="1"/>
  <c r="BN42" i="10"/>
  <c r="BO42" i="10" s="1"/>
  <c r="BP42" i="10" s="1"/>
  <c r="BQ42" i="10" s="1"/>
  <c r="BR42" i="10" s="1"/>
  <c r="BN44" i="10"/>
  <c r="BO44" i="10" s="1"/>
  <c r="BP44" i="10" s="1"/>
  <c r="BQ44" i="10" s="1"/>
  <c r="BR44" i="10" s="1"/>
  <c r="BN46" i="10"/>
  <c r="BO46" i="10" s="1"/>
  <c r="BP46" i="10" s="1"/>
  <c r="BQ46" i="10" s="1"/>
  <c r="BR46" i="10" s="1"/>
  <c r="BN48" i="10"/>
  <c r="BO48" i="10" s="1"/>
  <c r="BP48" i="10" s="1"/>
  <c r="BQ48" i="10" s="1"/>
  <c r="BR48" i="10" s="1"/>
  <c r="BN49" i="10"/>
  <c r="BO49" i="10" s="1"/>
  <c r="BP49" i="10" s="1"/>
  <c r="BQ49" i="10" s="1"/>
  <c r="BR49" i="10" s="1"/>
  <c r="BN50" i="10"/>
  <c r="BO50" i="10" s="1"/>
  <c r="BP50" i="10" s="1"/>
  <c r="BQ50" i="10" s="1"/>
  <c r="BR50" i="10" s="1"/>
  <c r="BN52" i="10"/>
  <c r="BO52" i="10" s="1"/>
  <c r="BP52" i="10" s="1"/>
  <c r="BQ52" i="10" s="1"/>
  <c r="BR52" i="10" s="1"/>
  <c r="BN54" i="10"/>
  <c r="BO54" i="10" s="1"/>
  <c r="BP54" i="10" s="1"/>
  <c r="BQ54" i="10" s="1"/>
  <c r="BR54" i="10" s="1"/>
  <c r="BN56" i="10"/>
  <c r="BO56" i="10" s="1"/>
  <c r="BP56" i="10" s="1"/>
  <c r="BQ56" i="10" s="1"/>
  <c r="BR56" i="10" s="1"/>
  <c r="BN57" i="10"/>
  <c r="BO57" i="10" s="1"/>
  <c r="BP57" i="10" s="1"/>
  <c r="BQ57" i="10" s="1"/>
  <c r="BR57" i="10" s="1"/>
  <c r="BN17" i="10"/>
  <c r="BO17" i="10" s="1"/>
  <c r="BP17" i="10" s="1"/>
  <c r="BQ17" i="10" s="1"/>
  <c r="BR17" i="10" s="1"/>
  <c r="BM18" i="10"/>
  <c r="BM19" i="10"/>
  <c r="BN19" i="10" s="1"/>
  <c r="BO19" i="10" s="1"/>
  <c r="BP19" i="10" s="1"/>
  <c r="BQ19" i="10" s="1"/>
  <c r="BR19" i="10" s="1"/>
  <c r="BM20" i="10"/>
  <c r="BM21" i="10"/>
  <c r="BN21" i="10" s="1"/>
  <c r="BO21" i="10" s="1"/>
  <c r="BP21" i="10" s="1"/>
  <c r="BQ21" i="10" s="1"/>
  <c r="BR21" i="10" s="1"/>
  <c r="BM22" i="10"/>
  <c r="BM23" i="10"/>
  <c r="BN23" i="10" s="1"/>
  <c r="BO23" i="10" s="1"/>
  <c r="BP23" i="10" s="1"/>
  <c r="BQ23" i="10" s="1"/>
  <c r="BR23" i="10" s="1"/>
  <c r="BM24" i="10"/>
  <c r="BM25" i="10"/>
  <c r="BM26" i="10"/>
  <c r="BM27" i="10"/>
  <c r="BN27" i="10" s="1"/>
  <c r="BO27" i="10" s="1"/>
  <c r="BP27" i="10" s="1"/>
  <c r="BQ27" i="10" s="1"/>
  <c r="BR27" i="10" s="1"/>
  <c r="BM28" i="10"/>
  <c r="BM29" i="10"/>
  <c r="BN29" i="10" s="1"/>
  <c r="BO29" i="10" s="1"/>
  <c r="BP29" i="10" s="1"/>
  <c r="BQ29" i="10" s="1"/>
  <c r="BR29" i="10" s="1"/>
  <c r="BM30" i="10"/>
  <c r="BM31" i="10"/>
  <c r="BN31" i="10" s="1"/>
  <c r="BO31" i="10" s="1"/>
  <c r="BP31" i="10" s="1"/>
  <c r="BQ31" i="10" s="1"/>
  <c r="BR31" i="10" s="1"/>
  <c r="BM32" i="10"/>
  <c r="BM33" i="10"/>
  <c r="BM34" i="10"/>
  <c r="BM35" i="10"/>
  <c r="BN35" i="10" s="1"/>
  <c r="BO35" i="10" s="1"/>
  <c r="BP35" i="10" s="1"/>
  <c r="BQ35" i="10" s="1"/>
  <c r="BR35" i="10" s="1"/>
  <c r="BM36" i="10"/>
  <c r="BM37" i="10"/>
  <c r="BN37" i="10" s="1"/>
  <c r="BO37" i="10" s="1"/>
  <c r="BP37" i="10" s="1"/>
  <c r="BQ37" i="10" s="1"/>
  <c r="BR37" i="10" s="1"/>
  <c r="BM38" i="10"/>
  <c r="BM39" i="10"/>
  <c r="BN39" i="10" s="1"/>
  <c r="BO39" i="10" s="1"/>
  <c r="BP39" i="10" s="1"/>
  <c r="BQ39" i="10" s="1"/>
  <c r="BR39" i="10" s="1"/>
  <c r="BM40" i="10"/>
  <c r="BM41" i="10"/>
  <c r="BM42" i="10"/>
  <c r="BM43" i="10"/>
  <c r="BN43" i="10" s="1"/>
  <c r="BO43" i="10" s="1"/>
  <c r="BP43" i="10" s="1"/>
  <c r="BQ43" i="10" s="1"/>
  <c r="BR43" i="10" s="1"/>
  <c r="BM44" i="10"/>
  <c r="BM45" i="10"/>
  <c r="BN45" i="10" s="1"/>
  <c r="BO45" i="10" s="1"/>
  <c r="BP45" i="10" s="1"/>
  <c r="BQ45" i="10" s="1"/>
  <c r="BR45" i="10" s="1"/>
  <c r="BM46" i="10"/>
  <c r="BM47" i="10"/>
  <c r="BN47" i="10" s="1"/>
  <c r="BO47" i="10" s="1"/>
  <c r="BP47" i="10" s="1"/>
  <c r="BQ47" i="10" s="1"/>
  <c r="BR47" i="10" s="1"/>
  <c r="BM48" i="10"/>
  <c r="BM49" i="10"/>
  <c r="BM50" i="10"/>
  <c r="BM51" i="10"/>
  <c r="BN51" i="10" s="1"/>
  <c r="BO51" i="10" s="1"/>
  <c r="BP51" i="10" s="1"/>
  <c r="BQ51" i="10" s="1"/>
  <c r="BR51" i="10" s="1"/>
  <c r="BM52" i="10"/>
  <c r="BM53" i="10"/>
  <c r="BN53" i="10" s="1"/>
  <c r="BO53" i="10" s="1"/>
  <c r="BP53" i="10" s="1"/>
  <c r="BQ53" i="10" s="1"/>
  <c r="BR53" i="10" s="1"/>
  <c r="BM54" i="10"/>
  <c r="BM55" i="10"/>
  <c r="BN55" i="10" s="1"/>
  <c r="BO55" i="10" s="1"/>
  <c r="BP55" i="10" s="1"/>
  <c r="BQ55" i="10" s="1"/>
  <c r="BR55" i="10" s="1"/>
  <c r="BM56" i="10"/>
  <c r="BM57" i="10"/>
  <c r="BM17" i="10"/>
  <c r="BL18" i="10"/>
  <c r="BL19" i="10"/>
  <c r="BL20" i="10"/>
  <c r="BL21" i="10"/>
  <c r="BL22" i="10"/>
  <c r="BL23" i="10"/>
  <c r="BL24" i="10"/>
  <c r="BL25" i="10"/>
  <c r="BL26" i="10"/>
  <c r="BL27" i="10"/>
  <c r="BL28" i="10"/>
  <c r="BL29" i="10"/>
  <c r="BL30" i="10"/>
  <c r="BL31" i="10"/>
  <c r="BL32" i="10"/>
  <c r="BL33" i="10"/>
  <c r="BL34" i="10"/>
  <c r="BL35" i="10"/>
  <c r="BL36" i="10"/>
  <c r="BL37" i="10"/>
  <c r="BL38" i="10"/>
  <c r="BL39" i="10"/>
  <c r="BL40" i="10"/>
  <c r="BL41" i="10"/>
  <c r="BL42" i="10"/>
  <c r="BL43" i="10"/>
  <c r="BL44" i="10"/>
  <c r="BL45" i="10"/>
  <c r="BL46" i="10"/>
  <c r="BL47" i="10"/>
  <c r="BL48" i="10"/>
  <c r="BL49" i="10"/>
  <c r="BL50" i="10"/>
  <c r="BL51" i="10"/>
  <c r="BL52" i="10"/>
  <c r="BL53" i="10"/>
  <c r="BL54" i="10"/>
  <c r="BL55" i="10"/>
  <c r="BL56" i="10"/>
  <c r="BL57" i="10"/>
  <c r="BL17" i="10"/>
  <c r="BK18" i="10"/>
  <c r="BK19" i="10"/>
  <c r="BK20" i="10"/>
  <c r="BK21" i="10"/>
  <c r="BK22" i="10"/>
  <c r="BK23" i="10"/>
  <c r="BK24" i="10"/>
  <c r="BK25" i="10"/>
  <c r="BK26" i="10"/>
  <c r="BK27" i="10"/>
  <c r="BK28" i="10"/>
  <c r="BK29" i="10"/>
  <c r="BK30" i="10"/>
  <c r="BK31" i="10"/>
  <c r="BK32" i="10"/>
  <c r="BK33" i="10"/>
  <c r="BK34" i="10"/>
  <c r="BK35" i="10"/>
  <c r="BK36" i="10"/>
  <c r="BK37" i="10"/>
  <c r="BK38" i="10"/>
  <c r="BK39" i="10"/>
  <c r="BK40" i="10"/>
  <c r="BK41" i="10"/>
  <c r="BK42" i="10"/>
  <c r="BK43" i="10"/>
  <c r="BK44" i="10"/>
  <c r="BK45" i="10"/>
  <c r="BK46" i="10"/>
  <c r="BK47" i="10"/>
  <c r="BK48" i="10"/>
  <c r="BK49" i="10"/>
  <c r="BK50" i="10"/>
  <c r="BK51" i="10"/>
  <c r="BK52" i="10"/>
  <c r="BK53" i="10"/>
  <c r="BK54" i="10"/>
  <c r="BK55" i="10"/>
  <c r="BK56" i="10"/>
  <c r="BK57" i="10"/>
  <c r="BK17" i="10"/>
  <c r="BM16" i="10"/>
  <c r="BN16" i="10" s="1"/>
  <c r="BN11" i="10" l="1"/>
  <c r="BO16" i="10"/>
  <c r="BM11" i="10"/>
  <c r="A587" i="13"/>
  <c r="A227" i="13"/>
  <c r="A447" i="13"/>
  <c r="A267" i="13"/>
  <c r="A428" i="13"/>
  <c r="A408" i="13"/>
  <c r="A347" i="13"/>
  <c r="A247" i="13"/>
  <c r="A387" i="13"/>
  <c r="A567" i="13"/>
  <c r="A487" i="13"/>
  <c r="A287" i="13"/>
  <c r="A327" i="13"/>
  <c r="A467" i="13"/>
  <c r="A507" i="13"/>
  <c r="A547" i="13"/>
  <c r="A307" i="13"/>
  <c r="A527" i="13"/>
  <c r="A367" i="13"/>
  <c r="A210" i="13"/>
  <c r="D209" i="13"/>
  <c r="AB3" i="15"/>
  <c r="Z3" i="15"/>
  <c r="AA3" i="15"/>
  <c r="BP16" i="10" l="1"/>
  <c r="BO11" i="10"/>
  <c r="A508" i="13"/>
  <c r="A368" i="13"/>
  <c r="A488" i="13"/>
  <c r="A568" i="13"/>
  <c r="A248" i="13"/>
  <c r="A308" i="13"/>
  <c r="A429" i="13"/>
  <c r="A588" i="13"/>
  <c r="A328" i="13"/>
  <c r="A528" i="13"/>
  <c r="A348" i="13"/>
  <c r="A211" i="13"/>
  <c r="D210" i="13"/>
  <c r="A548" i="13"/>
  <c r="A448" i="13"/>
  <c r="A468" i="13"/>
  <c r="A288" i="13"/>
  <c r="A388" i="13"/>
  <c r="A409" i="13"/>
  <c r="A268" i="13"/>
  <c r="A228" i="13"/>
  <c r="T3" i="15"/>
  <c r="BQ16" i="10" l="1"/>
  <c r="BP11" i="10"/>
  <c r="A469" i="13"/>
  <c r="A549" i="13"/>
  <c r="A569" i="13"/>
  <c r="A369" i="13"/>
  <c r="A289" i="13"/>
  <c r="A329" i="13"/>
  <c r="A430" i="13"/>
  <c r="A269" i="13"/>
  <c r="A212" i="13"/>
  <c r="D211" i="13"/>
  <c r="A529" i="13"/>
  <c r="A489" i="13"/>
  <c r="A410" i="13"/>
  <c r="A249" i="13"/>
  <c r="A389" i="13"/>
  <c r="A589" i="13"/>
  <c r="A309" i="13"/>
  <c r="A229" i="13"/>
  <c r="A449" i="13"/>
  <c r="A349" i="13"/>
  <c r="A509" i="13"/>
  <c r="F8" i="17"/>
  <c r="C11" i="17"/>
  <c r="C10" i="17" s="1"/>
  <c r="B11" i="17"/>
  <c r="BR16" i="10" l="1"/>
  <c r="BR11" i="10" s="1"/>
  <c r="BQ11" i="10"/>
  <c r="F11" i="17"/>
  <c r="A213" i="13"/>
  <c r="D212" i="13"/>
  <c r="A470" i="13"/>
  <c r="A450" i="13"/>
  <c r="A330" i="13"/>
  <c r="A370" i="13"/>
  <c r="A310" i="13"/>
  <c r="A390" i="13"/>
  <c r="A530" i="13"/>
  <c r="A230" i="13"/>
  <c r="A590" i="13"/>
  <c r="A270" i="13"/>
  <c r="A290" i="13"/>
  <c r="A570" i="13"/>
  <c r="A510" i="13"/>
  <c r="A250" i="13"/>
  <c r="A490" i="13"/>
  <c r="A550" i="13"/>
  <c r="A350" i="13"/>
  <c r="A411" i="13"/>
  <c r="A431" i="13"/>
  <c r="CD39" i="3"/>
  <c r="CF39" i="3"/>
  <c r="CH39" i="3"/>
  <c r="D3" i="20"/>
  <c r="D4" i="20"/>
  <c r="C4" i="3"/>
  <c r="D10" i="2"/>
  <c r="CI41" i="3"/>
  <c r="CI32" i="3"/>
  <c r="A571" i="13" l="1"/>
  <c r="A311" i="13"/>
  <c r="A214" i="13"/>
  <c r="D213" i="13"/>
  <c r="A231" i="13"/>
  <c r="A391" i="13"/>
  <c r="A451" i="13"/>
  <c r="A371" i="13"/>
  <c r="A412" i="13"/>
  <c r="A251" i="13"/>
  <c r="A331" i="13"/>
  <c r="A591" i="13"/>
  <c r="A351" i="13"/>
  <c r="A491" i="13"/>
  <c r="A271" i="13"/>
  <c r="A291" i="13"/>
  <c r="A531" i="13"/>
  <c r="A471" i="13"/>
  <c r="A432" i="13"/>
  <c r="A511" i="13"/>
  <c r="A551" i="13"/>
  <c r="D8" i="20"/>
  <c r="A433" i="13" l="1"/>
  <c r="A592" i="13"/>
  <c r="A372" i="13"/>
  <c r="A392" i="13"/>
  <c r="A215" i="13"/>
  <c r="D214" i="13"/>
  <c r="A272" i="13"/>
  <c r="A312" i="13"/>
  <c r="A472" i="13"/>
  <c r="A452" i="13"/>
  <c r="A552" i="13"/>
  <c r="A512" i="13"/>
  <c r="A292" i="13"/>
  <c r="A572" i="13"/>
  <c r="A492" i="13"/>
  <c r="A252" i="13"/>
  <c r="A232" i="13"/>
  <c r="A532" i="13"/>
  <c r="A352" i="13"/>
  <c r="A332" i="13"/>
  <c r="A413" i="13"/>
  <c r="C49" i="8"/>
  <c r="C50" i="8"/>
  <c r="C31" i="8"/>
  <c r="C32" i="8"/>
  <c r="C33" i="8"/>
  <c r="C34" i="8"/>
  <c r="C35" i="8"/>
  <c r="C36" i="8"/>
  <c r="C37" i="8"/>
  <c r="C38" i="8"/>
  <c r="C39" i="8"/>
  <c r="C40" i="8"/>
  <c r="C41" i="8"/>
  <c r="C42" i="8"/>
  <c r="C43" i="8"/>
  <c r="C44" i="8"/>
  <c r="C45" i="8"/>
  <c r="C46" i="8"/>
  <c r="C47" i="8"/>
  <c r="C48" i="8"/>
  <c r="A233" i="13" l="1"/>
  <c r="A553" i="13"/>
  <c r="A434" i="13"/>
  <c r="A333" i="13"/>
  <c r="A216" i="13"/>
  <c r="D215" i="13"/>
  <c r="A373" i="13"/>
  <c r="A353" i="13"/>
  <c r="A253" i="13"/>
  <c r="A473" i="13"/>
  <c r="A573" i="13"/>
  <c r="A593" i="13"/>
  <c r="A493" i="13"/>
  <c r="A293" i="13"/>
  <c r="A273" i="13"/>
  <c r="A414" i="13"/>
  <c r="A513" i="13"/>
  <c r="A533" i="13"/>
  <c r="A453" i="13"/>
  <c r="A313" i="13"/>
  <c r="A393" i="13"/>
  <c r="AG32" i="24"/>
  <c r="C10" i="11"/>
  <c r="C5" i="11"/>
  <c r="C6" i="11"/>
  <c r="C7" i="11"/>
  <c r="C4" i="11"/>
  <c r="A474" i="13" l="1"/>
  <c r="A354" i="13"/>
  <c r="A314" i="13"/>
  <c r="A435" i="13"/>
  <c r="A534" i="13"/>
  <c r="A454" i="13"/>
  <c r="A574" i="13"/>
  <c r="A374" i="13"/>
  <c r="A294" i="13"/>
  <c r="A274" i="13"/>
  <c r="A334" i="13"/>
  <c r="A554" i="13"/>
  <c r="A415" i="13"/>
  <c r="A394" i="13"/>
  <c r="A514" i="13"/>
  <c r="A494" i="13"/>
  <c r="A254" i="13"/>
  <c r="A217" i="13"/>
  <c r="D216" i="13"/>
  <c r="A594" i="13"/>
  <c r="A234" i="13"/>
  <c r="K10" i="24"/>
  <c r="K8" i="24"/>
  <c r="K7" i="24"/>
  <c r="K6" i="24"/>
  <c r="K5" i="24"/>
  <c r="K4" i="24"/>
  <c r="J10" i="24"/>
  <c r="J8" i="24"/>
  <c r="J7" i="24"/>
  <c r="J6" i="24"/>
  <c r="J5" i="24"/>
  <c r="J4" i="24"/>
  <c r="AF3" i="20"/>
  <c r="A455" i="13" l="1"/>
  <c r="A395" i="13"/>
  <c r="A295" i="13"/>
  <c r="A315" i="13"/>
  <c r="A475" i="13"/>
  <c r="A375" i="13"/>
  <c r="A535" i="13"/>
  <c r="A555" i="13"/>
  <c r="A436" i="13"/>
  <c r="A575" i="13"/>
  <c r="A495" i="13"/>
  <c r="A235" i="13"/>
  <c r="A515" i="13"/>
  <c r="A595" i="13"/>
  <c r="A275" i="13"/>
  <c r="A355" i="13"/>
  <c r="A218" i="13"/>
  <c r="D217" i="13"/>
  <c r="A255" i="13"/>
  <c r="A416" i="13"/>
  <c r="A335" i="13"/>
  <c r="I34" i="3"/>
  <c r="F25" i="8"/>
  <c r="F29" i="3" s="1"/>
  <c r="CE47" i="3"/>
  <c r="CE46" i="3"/>
  <c r="CE45" i="3"/>
  <c r="CE44" i="3"/>
  <c r="CE43" i="3"/>
  <c r="CE35" i="3"/>
  <c r="CE36" i="3"/>
  <c r="CE37" i="3"/>
  <c r="CE38" i="3"/>
  <c r="CE34" i="3"/>
  <c r="E30" i="3"/>
  <c r="Q27" i="8"/>
  <c r="P27" i="8"/>
  <c r="O27" i="8"/>
  <c r="N27" i="8"/>
  <c r="M27" i="8"/>
  <c r="L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BO27" i="8" s="1"/>
  <c r="AU27" i="8"/>
  <c r="AV27" i="8"/>
  <c r="AW27" i="8"/>
  <c r="AX27" i="8"/>
  <c r="AY27" i="8"/>
  <c r="AZ27" i="8"/>
  <c r="BA27" i="8"/>
  <c r="BB27" i="8"/>
  <c r="BC27" i="8"/>
  <c r="BD27" i="8"/>
  <c r="BE27" i="8"/>
  <c r="K27" i="8"/>
  <c r="J27" i="8"/>
  <c r="F26" i="8"/>
  <c r="G26" i="8" s="1"/>
  <c r="BM27" i="8" l="1"/>
  <c r="BL27" i="8"/>
  <c r="BN27" i="8"/>
  <c r="A316" i="13"/>
  <c r="A396" i="13"/>
  <c r="A496" i="13"/>
  <c r="A536" i="13"/>
  <c r="A219" i="13"/>
  <c r="D218" i="13"/>
  <c r="A417" i="13"/>
  <c r="A516" i="13"/>
  <c r="A556" i="13"/>
  <c r="A376" i="13"/>
  <c r="A356" i="13"/>
  <c r="A437" i="13"/>
  <c r="A476" i="13"/>
  <c r="A296" i="13"/>
  <c r="A336" i="13"/>
  <c r="A256" i="13"/>
  <c r="A236" i="13"/>
  <c r="A576" i="13"/>
  <c r="A276" i="13"/>
  <c r="A596" i="13"/>
  <c r="A456" i="13"/>
  <c r="CE39" i="3"/>
  <c r="AO5" i="10"/>
  <c r="BZ34" i="3"/>
  <c r="J1" i="8"/>
  <c r="BL3" i="8" s="1"/>
  <c r="BM3" i="8" s="1"/>
  <c r="BN3" i="8" s="1"/>
  <c r="BO3" i="8" s="1"/>
  <c r="F30" i="3"/>
  <c r="G30" i="3"/>
  <c r="A397" i="13" l="1"/>
  <c r="A497" i="13"/>
  <c r="A438" i="13"/>
  <c r="A517" i="13"/>
  <c r="A317" i="13"/>
  <c r="A277" i="13"/>
  <c r="A457" i="13"/>
  <c r="A257" i="13"/>
  <c r="A297" i="13"/>
  <c r="A377" i="13"/>
  <c r="A537" i="13"/>
  <c r="A577" i="13"/>
  <c r="A418" i="13"/>
  <c r="A597" i="13"/>
  <c r="A237" i="13"/>
  <c r="A337" i="13"/>
  <c r="A477" i="13"/>
  <c r="A357" i="13"/>
  <c r="A557" i="13"/>
  <c r="A220" i="13"/>
  <c r="D219" i="13"/>
  <c r="Q3" i="15"/>
  <c r="A518" i="13" l="1"/>
  <c r="A598" i="13"/>
  <c r="A578" i="13"/>
  <c r="A258" i="13"/>
  <c r="A278" i="13"/>
  <c r="A439" i="13"/>
  <c r="A338" i="13"/>
  <c r="A378" i="13"/>
  <c r="A221" i="13"/>
  <c r="D221" i="13" s="1"/>
  <c r="D220" i="13"/>
  <c r="A318" i="13"/>
  <c r="A398" i="13"/>
  <c r="A238" i="13"/>
  <c r="A478" i="13"/>
  <c r="A498" i="13"/>
  <c r="A558" i="13"/>
  <c r="A358" i="13"/>
  <c r="A419" i="13"/>
  <c r="A538" i="13"/>
  <c r="A298" i="13"/>
  <c r="A458" i="13"/>
  <c r="E4" i="20"/>
  <c r="F4" i="20" s="1"/>
  <c r="A599" i="13" l="1"/>
  <c r="A339" i="13"/>
  <c r="A299" i="13"/>
  <c r="A259" i="13"/>
  <c r="A559" i="13"/>
  <c r="A239" i="13"/>
  <c r="A319" i="13"/>
  <c r="A539" i="13"/>
  <c r="A579" i="13"/>
  <c r="A459" i="13"/>
  <c r="A379" i="13"/>
  <c r="A440" i="13"/>
  <c r="A359" i="13"/>
  <c r="A499" i="13"/>
  <c r="A399" i="13"/>
  <c r="A420" i="13"/>
  <c r="A479" i="13"/>
  <c r="A279" i="13"/>
  <c r="A519" i="13"/>
  <c r="M3" i="15"/>
  <c r="I10" i="3"/>
  <c r="I5" i="8"/>
  <c r="BK5" i="8" s="1"/>
  <c r="U4" i="24" s="1"/>
  <c r="I6" i="8"/>
  <c r="BK6" i="8" s="1"/>
  <c r="U5" i="24" s="1"/>
  <c r="I7" i="8"/>
  <c r="BK7" i="8" s="1"/>
  <c r="U6" i="24" s="1"/>
  <c r="I8" i="8"/>
  <c r="BK8" i="8" s="1"/>
  <c r="U7" i="24" s="1"/>
  <c r="I9" i="8"/>
  <c r="BK9" i="8" s="1"/>
  <c r="U8" i="24" s="1"/>
  <c r="I10" i="8"/>
  <c r="BK10" i="8" s="1"/>
  <c r="U9" i="24" s="1"/>
  <c r="I11" i="8"/>
  <c r="BK11" i="8" s="1"/>
  <c r="U10" i="24" s="1"/>
  <c r="I12" i="8"/>
  <c r="BK12" i="8" s="1"/>
  <c r="U11" i="24" s="1"/>
  <c r="I13" i="8"/>
  <c r="BK13" i="8" s="1"/>
  <c r="U12" i="24" s="1"/>
  <c r="I14" i="8"/>
  <c r="BK14" i="8" s="1"/>
  <c r="U13" i="24" s="1"/>
  <c r="I15" i="8"/>
  <c r="BK15" i="8" s="1"/>
  <c r="U14" i="24" s="1"/>
  <c r="I16" i="8"/>
  <c r="BK16" i="8" s="1"/>
  <c r="U15" i="24" s="1"/>
  <c r="I17" i="8"/>
  <c r="BK17" i="8" s="1"/>
  <c r="U16" i="24" s="1"/>
  <c r="I18" i="8"/>
  <c r="BK18" i="8" s="1"/>
  <c r="U17" i="24" s="1"/>
  <c r="I19" i="8"/>
  <c r="BK19" i="8" s="1"/>
  <c r="U18" i="24" s="1"/>
  <c r="I20" i="8"/>
  <c r="BK20" i="8" s="1"/>
  <c r="U19" i="24" s="1"/>
  <c r="I21" i="8"/>
  <c r="BK21" i="8" s="1"/>
  <c r="U20" i="24" s="1"/>
  <c r="I22" i="8"/>
  <c r="BK22" i="8" s="1"/>
  <c r="U21" i="24" s="1"/>
  <c r="I23" i="8"/>
  <c r="BK23" i="8" s="1"/>
  <c r="I4" i="8"/>
  <c r="BK4" i="8" s="1"/>
  <c r="U3" i="24" s="1"/>
  <c r="J24" i="8"/>
  <c r="V1" i="8"/>
  <c r="AH1" i="8" s="1"/>
  <c r="AT1" i="8" s="1"/>
  <c r="U22" i="24" l="1"/>
  <c r="N246" i="13"/>
  <c r="N254" i="13"/>
  <c r="N272" i="13"/>
  <c r="N280" i="13"/>
  <c r="N290" i="13"/>
  <c r="N298" i="13"/>
  <c r="N308" i="13"/>
  <c r="N316" i="13"/>
  <c r="N326" i="13"/>
  <c r="N334" i="13"/>
  <c r="N352" i="13"/>
  <c r="N360" i="13"/>
  <c r="N370" i="13"/>
  <c r="N378" i="13"/>
  <c r="N388" i="13"/>
  <c r="N396" i="13"/>
  <c r="N406" i="13"/>
  <c r="N414" i="13"/>
  <c r="N432" i="13"/>
  <c r="N440" i="13"/>
  <c r="N450" i="13"/>
  <c r="N458" i="13"/>
  <c r="N468" i="13"/>
  <c r="N476" i="13"/>
  <c r="N486" i="13"/>
  <c r="N494" i="13"/>
  <c r="N512" i="13"/>
  <c r="N520" i="13"/>
  <c r="N530" i="13"/>
  <c r="N538" i="13"/>
  <c r="N548" i="13"/>
  <c r="N556" i="13"/>
  <c r="N566" i="13"/>
  <c r="N574" i="13"/>
  <c r="N592" i="13"/>
  <c r="N600" i="13"/>
  <c r="L250" i="13"/>
  <c r="L258" i="13"/>
  <c r="L268" i="13"/>
  <c r="L276" i="13"/>
  <c r="L286" i="13"/>
  <c r="L294" i="13"/>
  <c r="L312" i="13"/>
  <c r="L320" i="13"/>
  <c r="L330" i="13"/>
  <c r="L338" i="13"/>
  <c r="L348" i="13"/>
  <c r="L356" i="13"/>
  <c r="L366" i="13"/>
  <c r="L374" i="13"/>
  <c r="L392" i="13"/>
  <c r="L400" i="13"/>
  <c r="L410" i="13"/>
  <c r="L418" i="13"/>
  <c r="L428" i="13"/>
  <c r="L436" i="13"/>
  <c r="L446" i="13"/>
  <c r="L454" i="13"/>
  <c r="L472" i="13"/>
  <c r="L480" i="13"/>
  <c r="L490" i="13"/>
  <c r="L498" i="13"/>
  <c r="L508" i="13"/>
  <c r="L516" i="13"/>
  <c r="L526" i="13"/>
  <c r="N247" i="13"/>
  <c r="N255" i="13"/>
  <c r="N265" i="13"/>
  <c r="N273" i="13"/>
  <c r="N291" i="13"/>
  <c r="N299" i="13"/>
  <c r="N309" i="13"/>
  <c r="N317" i="13"/>
  <c r="N327" i="13"/>
  <c r="N335" i="13"/>
  <c r="N345" i="13"/>
  <c r="N353" i="13"/>
  <c r="N371" i="13"/>
  <c r="N379" i="13"/>
  <c r="N389" i="13"/>
  <c r="N397" i="13"/>
  <c r="N407" i="13"/>
  <c r="N415" i="13"/>
  <c r="N425" i="13"/>
  <c r="N433" i="13"/>
  <c r="N451" i="13"/>
  <c r="N459" i="13"/>
  <c r="N469" i="13"/>
  <c r="N477" i="13"/>
  <c r="N487" i="13"/>
  <c r="N495" i="13"/>
  <c r="N505" i="13"/>
  <c r="N513" i="13"/>
  <c r="N531" i="13"/>
  <c r="N539" i="13"/>
  <c r="N549" i="13"/>
  <c r="N557" i="13"/>
  <c r="N567" i="13"/>
  <c r="N575" i="13"/>
  <c r="N585" i="13"/>
  <c r="N593" i="13"/>
  <c r="L251" i="13"/>
  <c r="L259" i="13"/>
  <c r="L269" i="13"/>
  <c r="L277" i="13"/>
  <c r="L287" i="13"/>
  <c r="L295" i="13"/>
  <c r="L305" i="13"/>
  <c r="L313" i="13"/>
  <c r="L331" i="13"/>
  <c r="L339" i="13"/>
  <c r="L349" i="13"/>
  <c r="L357" i="13"/>
  <c r="L367" i="13"/>
  <c r="L375" i="13"/>
  <c r="L385" i="13"/>
  <c r="L393" i="13"/>
  <c r="L411" i="13"/>
  <c r="L419" i="13"/>
  <c r="L429" i="13"/>
  <c r="L437" i="13"/>
  <c r="L447" i="13"/>
  <c r="L455" i="13"/>
  <c r="L465" i="13"/>
  <c r="L473" i="13"/>
  <c r="L491" i="13"/>
  <c r="L499" i="13"/>
  <c r="L509" i="13"/>
  <c r="L517" i="13"/>
  <c r="L527" i="13"/>
  <c r="N248" i="13"/>
  <c r="N256" i="13"/>
  <c r="N266" i="13"/>
  <c r="N274" i="13"/>
  <c r="N292" i="13"/>
  <c r="N300" i="13"/>
  <c r="N310" i="13"/>
  <c r="N318" i="13"/>
  <c r="N328" i="13"/>
  <c r="N336" i="13"/>
  <c r="N346" i="13"/>
  <c r="N354" i="13"/>
  <c r="N372" i="13"/>
  <c r="N380" i="13"/>
  <c r="N390" i="13"/>
  <c r="N398" i="13"/>
  <c r="N408" i="13"/>
  <c r="N416" i="13"/>
  <c r="N426" i="13"/>
  <c r="N434" i="13"/>
  <c r="N452" i="13"/>
  <c r="N460" i="13"/>
  <c r="N470" i="13"/>
  <c r="N478" i="13"/>
  <c r="N488" i="13"/>
  <c r="N496" i="13"/>
  <c r="N506" i="13"/>
  <c r="N514" i="13"/>
  <c r="N532" i="13"/>
  <c r="N540" i="13"/>
  <c r="N550" i="13"/>
  <c r="N558" i="13"/>
  <c r="N568" i="13"/>
  <c r="N576" i="13"/>
  <c r="N586" i="13"/>
  <c r="N594" i="13"/>
  <c r="L252" i="13"/>
  <c r="L260" i="13"/>
  <c r="L270" i="13"/>
  <c r="L278" i="13"/>
  <c r="L288" i="13"/>
  <c r="L296" i="13"/>
  <c r="L306" i="13"/>
  <c r="L314" i="13"/>
  <c r="L332" i="13"/>
  <c r="L340" i="13"/>
  <c r="L350" i="13"/>
  <c r="L358" i="13"/>
  <c r="L368" i="13"/>
  <c r="L376" i="13"/>
  <c r="L386" i="13"/>
  <c r="L394" i="13"/>
  <c r="L412" i="13"/>
  <c r="L420" i="13"/>
  <c r="L430" i="13"/>
  <c r="L438" i="13"/>
  <c r="L448" i="13"/>
  <c r="L456" i="13"/>
  <c r="L466" i="13"/>
  <c r="L474" i="13"/>
  <c r="L492" i="13"/>
  <c r="L500" i="13"/>
  <c r="L510" i="13"/>
  <c r="L518" i="13"/>
  <c r="L528" i="13"/>
  <c r="N249" i="13"/>
  <c r="N257" i="13"/>
  <c r="N267" i="13"/>
  <c r="N275" i="13"/>
  <c r="N285" i="13"/>
  <c r="N293" i="13"/>
  <c r="N311" i="13"/>
  <c r="N319" i="13"/>
  <c r="N329" i="13"/>
  <c r="N337" i="13"/>
  <c r="N347" i="13"/>
  <c r="N355" i="13"/>
  <c r="N365" i="13"/>
  <c r="N373" i="13"/>
  <c r="N391" i="13"/>
  <c r="N399" i="13"/>
  <c r="N409" i="13"/>
  <c r="N417" i="13"/>
  <c r="N427" i="13"/>
  <c r="N435" i="13"/>
  <c r="N445" i="13"/>
  <c r="N453" i="13"/>
  <c r="N471" i="13"/>
  <c r="N479" i="13"/>
  <c r="N489" i="13"/>
  <c r="N497" i="13"/>
  <c r="N507" i="13"/>
  <c r="N515" i="13"/>
  <c r="N525" i="13"/>
  <c r="N533" i="13"/>
  <c r="N551" i="13"/>
  <c r="N559" i="13"/>
  <c r="N569" i="13"/>
  <c r="N577" i="13"/>
  <c r="N587" i="13"/>
  <c r="N595" i="13"/>
  <c r="L245" i="13"/>
  <c r="L253" i="13"/>
  <c r="L271" i="13"/>
  <c r="L279" i="13"/>
  <c r="L289" i="13"/>
  <c r="L297" i="13"/>
  <c r="L307" i="13"/>
  <c r="L315" i="13"/>
  <c r="L325" i="13"/>
  <c r="L333" i="13"/>
  <c r="L351" i="13"/>
  <c r="L359" i="13"/>
  <c r="L369" i="13"/>
  <c r="L377" i="13"/>
  <c r="L387" i="13"/>
  <c r="L395" i="13"/>
  <c r="L405" i="13"/>
  <c r="L413" i="13"/>
  <c r="L431" i="13"/>
  <c r="L439" i="13"/>
  <c r="L449" i="13"/>
  <c r="L457" i="13"/>
  <c r="L467" i="13"/>
  <c r="L475" i="13"/>
  <c r="L485" i="13"/>
  <c r="L493" i="13"/>
  <c r="L511" i="13"/>
  <c r="L519" i="13"/>
  <c r="L529" i="13"/>
  <c r="N250" i="13"/>
  <c r="N258" i="13"/>
  <c r="N268" i="13"/>
  <c r="N276" i="13"/>
  <c r="N286" i="13"/>
  <c r="N294" i="13"/>
  <c r="N312" i="13"/>
  <c r="N320" i="13"/>
  <c r="N330" i="13"/>
  <c r="N338" i="13"/>
  <c r="N348" i="13"/>
  <c r="N356" i="13"/>
  <c r="N366" i="13"/>
  <c r="N374" i="13"/>
  <c r="N392" i="13"/>
  <c r="N400" i="13"/>
  <c r="N410" i="13"/>
  <c r="N418" i="13"/>
  <c r="N428" i="13"/>
  <c r="N436" i="13"/>
  <c r="N446" i="13"/>
  <c r="N454" i="13"/>
  <c r="N472" i="13"/>
  <c r="N480" i="13"/>
  <c r="N490" i="13"/>
  <c r="N498" i="13"/>
  <c r="N508" i="13"/>
  <c r="N516" i="13"/>
  <c r="N526" i="13"/>
  <c r="N534" i="13"/>
  <c r="N552" i="13"/>
  <c r="N560" i="13"/>
  <c r="N570" i="13"/>
  <c r="N578" i="13"/>
  <c r="N588" i="13"/>
  <c r="N596" i="13"/>
  <c r="L246" i="13"/>
  <c r="L254" i="13"/>
  <c r="L272" i="13"/>
  <c r="L280" i="13"/>
  <c r="L290" i="13"/>
  <c r="L298" i="13"/>
  <c r="L308" i="13"/>
  <c r="L316" i="13"/>
  <c r="L326" i="13"/>
  <c r="L334" i="13"/>
  <c r="L352" i="13"/>
  <c r="L360" i="13"/>
  <c r="L370" i="13"/>
  <c r="L378" i="13"/>
  <c r="L388" i="13"/>
  <c r="L396" i="13"/>
  <c r="L406" i="13"/>
  <c r="L414" i="13"/>
  <c r="L432" i="13"/>
  <c r="L440" i="13"/>
  <c r="L450" i="13"/>
  <c r="L458" i="13"/>
  <c r="L468" i="13"/>
  <c r="L476" i="13"/>
  <c r="L486" i="13"/>
  <c r="L494" i="13"/>
  <c r="L512" i="13"/>
  <c r="L520" i="13"/>
  <c r="L530" i="13"/>
  <c r="N251" i="13"/>
  <c r="N259" i="13"/>
  <c r="N269" i="13"/>
  <c r="N277" i="13"/>
  <c r="N287" i="13"/>
  <c r="N295" i="13"/>
  <c r="N305" i="13"/>
  <c r="N313" i="13"/>
  <c r="N331" i="13"/>
  <c r="N339" i="13"/>
  <c r="N349" i="13"/>
  <c r="N357" i="13"/>
  <c r="N367" i="13"/>
  <c r="N375" i="13"/>
  <c r="N385" i="13"/>
  <c r="N393" i="13"/>
  <c r="N411" i="13"/>
  <c r="N419" i="13"/>
  <c r="N429" i="13"/>
  <c r="N437" i="13"/>
  <c r="N447" i="13"/>
  <c r="N455" i="13"/>
  <c r="N465" i="13"/>
  <c r="N473" i="13"/>
  <c r="N491" i="13"/>
  <c r="N499" i="13"/>
  <c r="N509" i="13"/>
  <c r="N517" i="13"/>
  <c r="N527" i="13"/>
  <c r="N535" i="13"/>
  <c r="N545" i="13"/>
  <c r="N553" i="13"/>
  <c r="N571" i="13"/>
  <c r="N579" i="13"/>
  <c r="N589" i="13"/>
  <c r="N597" i="13"/>
  <c r="L247" i="13"/>
  <c r="L255" i="13"/>
  <c r="L265" i="13"/>
  <c r="L273" i="13"/>
  <c r="L291" i="13"/>
  <c r="L299" i="13"/>
  <c r="L309" i="13"/>
  <c r="L317" i="13"/>
  <c r="L327" i="13"/>
  <c r="L335" i="13"/>
  <c r="L345" i="13"/>
  <c r="L353" i="13"/>
  <c r="L371" i="13"/>
  <c r="L379" i="13"/>
  <c r="L389" i="13"/>
  <c r="L397" i="13"/>
  <c r="L407" i="13"/>
  <c r="L415" i="13"/>
  <c r="L425" i="13"/>
  <c r="L433" i="13"/>
  <c r="L451" i="13"/>
  <c r="L459" i="13"/>
  <c r="L469" i="13"/>
  <c r="L477" i="13"/>
  <c r="L487" i="13"/>
  <c r="L495" i="13"/>
  <c r="L505" i="13"/>
  <c r="L513" i="13"/>
  <c r="L531" i="13"/>
  <c r="N252" i="13"/>
  <c r="N260" i="13"/>
  <c r="N270" i="13"/>
  <c r="N278" i="13"/>
  <c r="N288" i="13"/>
  <c r="N296" i="13"/>
  <c r="N306" i="13"/>
  <c r="N314" i="13"/>
  <c r="N332" i="13"/>
  <c r="N340" i="13"/>
  <c r="N350" i="13"/>
  <c r="N358" i="13"/>
  <c r="N368" i="13"/>
  <c r="N376" i="13"/>
  <c r="N386" i="13"/>
  <c r="N394" i="13"/>
  <c r="N412" i="13"/>
  <c r="N420" i="13"/>
  <c r="N430" i="13"/>
  <c r="N438" i="13"/>
  <c r="N448" i="13"/>
  <c r="N456" i="13"/>
  <c r="N466" i="13"/>
  <c r="N474" i="13"/>
  <c r="N492" i="13"/>
  <c r="N500" i="13"/>
  <c r="N510" i="13"/>
  <c r="N518" i="13"/>
  <c r="N528" i="13"/>
  <c r="N536" i="13"/>
  <c r="N546" i="13"/>
  <c r="N554" i="13"/>
  <c r="N572" i="13"/>
  <c r="N580" i="13"/>
  <c r="N590" i="13"/>
  <c r="N598" i="13"/>
  <c r="L248" i="13"/>
  <c r="L256" i="13"/>
  <c r="L266" i="13"/>
  <c r="L274" i="13"/>
  <c r="L292" i="13"/>
  <c r="L300" i="13"/>
  <c r="L310" i="13"/>
  <c r="L318" i="13"/>
  <c r="L328" i="13"/>
  <c r="L336" i="13"/>
  <c r="L346" i="13"/>
  <c r="L354" i="13"/>
  <c r="L372" i="13"/>
  <c r="L380" i="13"/>
  <c r="L390" i="13"/>
  <c r="L398" i="13"/>
  <c r="L408" i="13"/>
  <c r="L416" i="13"/>
  <c r="L426" i="13"/>
  <c r="L434" i="13"/>
  <c r="L452" i="13"/>
  <c r="L460" i="13"/>
  <c r="L470" i="13"/>
  <c r="L478" i="13"/>
  <c r="L488" i="13"/>
  <c r="L496" i="13"/>
  <c r="L506" i="13"/>
  <c r="L514" i="13"/>
  <c r="N245" i="13"/>
  <c r="N253" i="13"/>
  <c r="N271" i="13"/>
  <c r="N279" i="13"/>
  <c r="N289" i="13"/>
  <c r="N297" i="13"/>
  <c r="N307" i="13"/>
  <c r="N315" i="13"/>
  <c r="N325" i="13"/>
  <c r="N333" i="13"/>
  <c r="N351" i="13"/>
  <c r="N359" i="13"/>
  <c r="N369" i="13"/>
  <c r="N377" i="13"/>
  <c r="N387" i="13"/>
  <c r="N395" i="13"/>
  <c r="N405" i="13"/>
  <c r="N413" i="13"/>
  <c r="N431" i="13"/>
  <c r="N439" i="13"/>
  <c r="N449" i="13"/>
  <c r="N457" i="13"/>
  <c r="N467" i="13"/>
  <c r="N475" i="13"/>
  <c r="N485" i="13"/>
  <c r="N493" i="13"/>
  <c r="N511" i="13"/>
  <c r="N519" i="13"/>
  <c r="N529" i="13"/>
  <c r="N537" i="13"/>
  <c r="N547" i="13"/>
  <c r="N555" i="13"/>
  <c r="N565" i="13"/>
  <c r="N573" i="13"/>
  <c r="N591" i="13"/>
  <c r="N599" i="13"/>
  <c r="L249" i="13"/>
  <c r="L257" i="13"/>
  <c r="L267" i="13"/>
  <c r="L275" i="13"/>
  <c r="L285" i="13"/>
  <c r="L293" i="13"/>
  <c r="L311" i="13"/>
  <c r="L319" i="13"/>
  <c r="L347" i="13"/>
  <c r="L417" i="13"/>
  <c r="L489" i="13"/>
  <c r="L535" i="13"/>
  <c r="L545" i="13"/>
  <c r="L553" i="13"/>
  <c r="L571" i="13"/>
  <c r="L579" i="13"/>
  <c r="L589" i="13"/>
  <c r="L597" i="13"/>
  <c r="H274" i="13"/>
  <c r="H354" i="13"/>
  <c r="H434" i="13"/>
  <c r="H514" i="13"/>
  <c r="H594" i="13"/>
  <c r="J252" i="13"/>
  <c r="J272" i="13"/>
  <c r="J292" i="13"/>
  <c r="J312" i="13"/>
  <c r="J332" i="13"/>
  <c r="J352" i="13"/>
  <c r="J372" i="13"/>
  <c r="J392" i="13"/>
  <c r="J412" i="13"/>
  <c r="J432" i="13"/>
  <c r="J452" i="13"/>
  <c r="J472" i="13"/>
  <c r="J492" i="13"/>
  <c r="J512" i="13"/>
  <c r="J532" i="13"/>
  <c r="J552" i="13"/>
  <c r="J572" i="13"/>
  <c r="J592" i="13"/>
  <c r="H252" i="13"/>
  <c r="H272" i="13"/>
  <c r="H292" i="13"/>
  <c r="H312" i="13"/>
  <c r="H332" i="13"/>
  <c r="L355" i="13"/>
  <c r="L427" i="13"/>
  <c r="L497" i="13"/>
  <c r="L536" i="13"/>
  <c r="L546" i="13"/>
  <c r="L554" i="13"/>
  <c r="L572" i="13"/>
  <c r="L580" i="13"/>
  <c r="L590" i="13"/>
  <c r="L598" i="13"/>
  <c r="H290" i="13"/>
  <c r="H370" i="13"/>
  <c r="H450" i="13"/>
  <c r="H530" i="13"/>
  <c r="J253" i="13"/>
  <c r="J273" i="13"/>
  <c r="J293" i="13"/>
  <c r="J313" i="13"/>
  <c r="J333" i="13"/>
  <c r="J353" i="13"/>
  <c r="J373" i="13"/>
  <c r="J393" i="13"/>
  <c r="J413" i="13"/>
  <c r="J433" i="13"/>
  <c r="J453" i="13"/>
  <c r="J473" i="13"/>
  <c r="J493" i="13"/>
  <c r="J513" i="13"/>
  <c r="J533" i="13"/>
  <c r="J553" i="13"/>
  <c r="J573" i="13"/>
  <c r="J593" i="13"/>
  <c r="H253" i="13"/>
  <c r="H273" i="13"/>
  <c r="L365" i="13"/>
  <c r="L435" i="13"/>
  <c r="L507" i="13"/>
  <c r="L537" i="13"/>
  <c r="L547" i="13"/>
  <c r="L555" i="13"/>
  <c r="L565" i="13"/>
  <c r="L573" i="13"/>
  <c r="L591" i="13"/>
  <c r="L599" i="13"/>
  <c r="H298" i="13"/>
  <c r="H378" i="13"/>
  <c r="H458" i="13"/>
  <c r="H538" i="13"/>
  <c r="J245" i="13"/>
  <c r="J254" i="13"/>
  <c r="J265" i="13"/>
  <c r="J275" i="13"/>
  <c r="J285" i="13"/>
  <c r="J294" i="13"/>
  <c r="J305" i="13"/>
  <c r="J315" i="13"/>
  <c r="J325" i="13"/>
  <c r="J334" i="13"/>
  <c r="J345" i="13"/>
  <c r="J355" i="13"/>
  <c r="J365" i="13"/>
  <c r="J374" i="13"/>
  <c r="J385" i="13"/>
  <c r="J395" i="13"/>
  <c r="J405" i="13"/>
  <c r="J414" i="13"/>
  <c r="J425" i="13"/>
  <c r="J435" i="13"/>
  <c r="J445" i="13"/>
  <c r="J454" i="13"/>
  <c r="J465" i="13"/>
  <c r="J475" i="13"/>
  <c r="J485" i="13"/>
  <c r="J494" i="13"/>
  <c r="J505" i="13"/>
  <c r="J515" i="13"/>
  <c r="J525" i="13"/>
  <c r="J534" i="13"/>
  <c r="J545" i="13"/>
  <c r="J555" i="13"/>
  <c r="J565" i="13"/>
  <c r="J574" i="13"/>
  <c r="J585" i="13"/>
  <c r="J595" i="13"/>
  <c r="H245" i="13"/>
  <c r="H254" i="13"/>
  <c r="H265" i="13"/>
  <c r="H275" i="13"/>
  <c r="L373" i="13"/>
  <c r="L445" i="13"/>
  <c r="L515" i="13"/>
  <c r="L538" i="13"/>
  <c r="L548" i="13"/>
  <c r="L556" i="13"/>
  <c r="L566" i="13"/>
  <c r="L574" i="13"/>
  <c r="L592" i="13"/>
  <c r="L600" i="13"/>
  <c r="H306" i="13"/>
  <c r="H386" i="13"/>
  <c r="H466" i="13"/>
  <c r="H546" i="13"/>
  <c r="J246" i="13"/>
  <c r="J255" i="13"/>
  <c r="J267" i="13"/>
  <c r="J276" i="13"/>
  <c r="J286" i="13"/>
  <c r="J295" i="13"/>
  <c r="J307" i="13"/>
  <c r="J316" i="13"/>
  <c r="J326" i="13"/>
  <c r="J335" i="13"/>
  <c r="J347" i="13"/>
  <c r="J356" i="13"/>
  <c r="J366" i="13"/>
  <c r="J375" i="13"/>
  <c r="J387" i="13"/>
  <c r="J396" i="13"/>
  <c r="J406" i="13"/>
  <c r="J415" i="13"/>
  <c r="J427" i="13"/>
  <c r="J436" i="13"/>
  <c r="J446" i="13"/>
  <c r="J455" i="13"/>
  <c r="J467" i="13"/>
  <c r="J476" i="13"/>
  <c r="J486" i="13"/>
  <c r="J495" i="13"/>
  <c r="J507" i="13"/>
  <c r="J516" i="13"/>
  <c r="J526" i="13"/>
  <c r="J535" i="13"/>
  <c r="J547" i="13"/>
  <c r="J556" i="13"/>
  <c r="J566" i="13"/>
  <c r="J575" i="13"/>
  <c r="J587" i="13"/>
  <c r="J596" i="13"/>
  <c r="H246" i="13"/>
  <c r="H255" i="13"/>
  <c r="H267" i="13"/>
  <c r="H276" i="13"/>
  <c r="L453" i="13"/>
  <c r="L525" i="13"/>
  <c r="L539" i="13"/>
  <c r="L549" i="13"/>
  <c r="L557" i="13"/>
  <c r="L567" i="13"/>
  <c r="L575" i="13"/>
  <c r="L585" i="13"/>
  <c r="L593" i="13"/>
  <c r="H314" i="13"/>
  <c r="H394" i="13"/>
  <c r="H474" i="13"/>
  <c r="H554" i="13"/>
  <c r="J247" i="13"/>
  <c r="J256" i="13"/>
  <c r="J268" i="13"/>
  <c r="J277" i="13"/>
  <c r="J287" i="13"/>
  <c r="J296" i="13"/>
  <c r="J308" i="13"/>
  <c r="J317" i="13"/>
  <c r="J327" i="13"/>
  <c r="J336" i="13"/>
  <c r="J348" i="13"/>
  <c r="J357" i="13"/>
  <c r="J367" i="13"/>
  <c r="J376" i="13"/>
  <c r="J388" i="13"/>
  <c r="J397" i="13"/>
  <c r="J407" i="13"/>
  <c r="J416" i="13"/>
  <c r="J428" i="13"/>
  <c r="J437" i="13"/>
  <c r="J447" i="13"/>
  <c r="J456" i="13"/>
  <c r="J468" i="13"/>
  <c r="J477" i="13"/>
  <c r="J487" i="13"/>
  <c r="J496" i="13"/>
  <c r="J508" i="13"/>
  <c r="J517" i="13"/>
  <c r="J527" i="13"/>
  <c r="J536" i="13"/>
  <c r="J548" i="13"/>
  <c r="J557" i="13"/>
  <c r="J567" i="13"/>
  <c r="J576" i="13"/>
  <c r="J588" i="13"/>
  <c r="J597" i="13"/>
  <c r="H247" i="13"/>
  <c r="H256" i="13"/>
  <c r="H268" i="13"/>
  <c r="H277" i="13"/>
  <c r="H287" i="13"/>
  <c r="H296" i="13"/>
  <c r="H308" i="13"/>
  <c r="H317" i="13"/>
  <c r="H327" i="13"/>
  <c r="H336" i="13"/>
  <c r="H348" i="13"/>
  <c r="H357" i="13"/>
  <c r="H367" i="13"/>
  <c r="H376" i="13"/>
  <c r="H388" i="13"/>
  <c r="H397" i="13"/>
  <c r="H407" i="13"/>
  <c r="H416" i="13"/>
  <c r="H428" i="13"/>
  <c r="H437" i="13"/>
  <c r="H447" i="13"/>
  <c r="H456" i="13"/>
  <c r="H468" i="13"/>
  <c r="H477" i="13"/>
  <c r="H487" i="13"/>
  <c r="H496" i="13"/>
  <c r="H508" i="13"/>
  <c r="H517" i="13"/>
  <c r="H527" i="13"/>
  <c r="H536" i="13"/>
  <c r="H548" i="13"/>
  <c r="H557" i="13"/>
  <c r="H567" i="13"/>
  <c r="H576" i="13"/>
  <c r="L391" i="13"/>
  <c r="L532" i="13"/>
  <c r="L540" i="13"/>
  <c r="L550" i="13"/>
  <c r="L558" i="13"/>
  <c r="L568" i="13"/>
  <c r="L576" i="13"/>
  <c r="L586" i="13"/>
  <c r="L594" i="13"/>
  <c r="H250" i="13"/>
  <c r="H330" i="13"/>
  <c r="H410" i="13"/>
  <c r="H490" i="13"/>
  <c r="H570" i="13"/>
  <c r="J248" i="13"/>
  <c r="J257" i="13"/>
  <c r="J269" i="13"/>
  <c r="J278" i="13"/>
  <c r="J288" i="13"/>
  <c r="J297" i="13"/>
  <c r="J309" i="13"/>
  <c r="J318" i="13"/>
  <c r="J328" i="13"/>
  <c r="J337" i="13"/>
  <c r="J349" i="13"/>
  <c r="J358" i="13"/>
  <c r="J368" i="13"/>
  <c r="J377" i="13"/>
  <c r="J389" i="13"/>
  <c r="J398" i="13"/>
  <c r="J408" i="13"/>
  <c r="J417" i="13"/>
  <c r="J429" i="13"/>
  <c r="J438" i="13"/>
  <c r="J448" i="13"/>
  <c r="J457" i="13"/>
  <c r="J469" i="13"/>
  <c r="J478" i="13"/>
  <c r="J488" i="13"/>
  <c r="J497" i="13"/>
  <c r="J509" i="13"/>
  <c r="J518" i="13"/>
  <c r="J528" i="13"/>
  <c r="J537" i="13"/>
  <c r="J549" i="13"/>
  <c r="J558" i="13"/>
  <c r="J568" i="13"/>
  <c r="J577" i="13"/>
  <c r="J589" i="13"/>
  <c r="J598" i="13"/>
  <c r="H248" i="13"/>
  <c r="H257" i="13"/>
  <c r="H269" i="13"/>
  <c r="H278" i="13"/>
  <c r="H288" i="13"/>
  <c r="H297" i="13"/>
  <c r="H309" i="13"/>
  <c r="H318" i="13"/>
  <c r="H328" i="13"/>
  <c r="H337" i="13"/>
  <c r="L329" i="13"/>
  <c r="L399" i="13"/>
  <c r="L471" i="13"/>
  <c r="L533" i="13"/>
  <c r="L551" i="13"/>
  <c r="L559" i="13"/>
  <c r="L569" i="13"/>
  <c r="L577" i="13"/>
  <c r="L587" i="13"/>
  <c r="L595" i="13"/>
  <c r="H258" i="13"/>
  <c r="H338" i="13"/>
  <c r="H418" i="13"/>
  <c r="H498" i="13"/>
  <c r="H578" i="13"/>
  <c r="J249" i="13"/>
  <c r="J259" i="13"/>
  <c r="J270" i="13"/>
  <c r="J279" i="13"/>
  <c r="J289" i="13"/>
  <c r="J299" i="13"/>
  <c r="J310" i="13"/>
  <c r="J319" i="13"/>
  <c r="J329" i="13"/>
  <c r="J339" i="13"/>
  <c r="J350" i="13"/>
  <c r="J359" i="13"/>
  <c r="J369" i="13"/>
  <c r="J379" i="13"/>
  <c r="J390" i="13"/>
  <c r="J399" i="13"/>
  <c r="J409" i="13"/>
  <c r="J419" i="13"/>
  <c r="J430" i="13"/>
  <c r="J439" i="13"/>
  <c r="J449" i="13"/>
  <c r="J459" i="13"/>
  <c r="J470" i="13"/>
  <c r="J479" i="13"/>
  <c r="J489" i="13"/>
  <c r="J499" i="13"/>
  <c r="J510" i="13"/>
  <c r="J519" i="13"/>
  <c r="J529" i="13"/>
  <c r="J539" i="13"/>
  <c r="J550" i="13"/>
  <c r="J559" i="13"/>
  <c r="J569" i="13"/>
  <c r="J579" i="13"/>
  <c r="J590" i="13"/>
  <c r="J599" i="13"/>
  <c r="H249" i="13"/>
  <c r="H259" i="13"/>
  <c r="H270" i="13"/>
  <c r="L337" i="13"/>
  <c r="L409" i="13"/>
  <c r="L479" i="13"/>
  <c r="L534" i="13"/>
  <c r="L552" i="13"/>
  <c r="L560" i="13"/>
  <c r="L570" i="13"/>
  <c r="L578" i="13"/>
  <c r="L588" i="13"/>
  <c r="L596" i="13"/>
  <c r="H266" i="13"/>
  <c r="H346" i="13"/>
  <c r="H426" i="13"/>
  <c r="H506" i="13"/>
  <c r="H586" i="13"/>
  <c r="J251" i="13"/>
  <c r="J260" i="13"/>
  <c r="J271" i="13"/>
  <c r="J280" i="13"/>
  <c r="J291" i="13"/>
  <c r="J300" i="13"/>
  <c r="J311" i="13"/>
  <c r="J320" i="13"/>
  <c r="J331" i="13"/>
  <c r="J340" i="13"/>
  <c r="J351" i="13"/>
  <c r="J360" i="13"/>
  <c r="J371" i="13"/>
  <c r="J380" i="13"/>
  <c r="J391" i="13"/>
  <c r="J400" i="13"/>
  <c r="J411" i="13"/>
  <c r="J420" i="13"/>
  <c r="J431" i="13"/>
  <c r="J440" i="13"/>
  <c r="J451" i="13"/>
  <c r="J460" i="13"/>
  <c r="J471" i="13"/>
  <c r="J480" i="13"/>
  <c r="J491" i="13"/>
  <c r="J500" i="13"/>
  <c r="J511" i="13"/>
  <c r="J520" i="13"/>
  <c r="J531" i="13"/>
  <c r="J540" i="13"/>
  <c r="J551" i="13"/>
  <c r="J560" i="13"/>
  <c r="J571" i="13"/>
  <c r="J580" i="13"/>
  <c r="J591" i="13"/>
  <c r="J600" i="13"/>
  <c r="H251" i="13"/>
  <c r="H260" i="13"/>
  <c r="H271" i="13"/>
  <c r="H280" i="13"/>
  <c r="H291" i="13"/>
  <c r="H300" i="13"/>
  <c r="H311" i="13"/>
  <c r="H320" i="13"/>
  <c r="H331" i="13"/>
  <c r="H340" i="13"/>
  <c r="H351" i="13"/>
  <c r="H360" i="13"/>
  <c r="H371" i="13"/>
  <c r="H380" i="13"/>
  <c r="H391" i="13"/>
  <c r="H400" i="13"/>
  <c r="H411" i="13"/>
  <c r="H420" i="13"/>
  <c r="H431" i="13"/>
  <c r="H440" i="13"/>
  <c r="H451" i="13"/>
  <c r="H460" i="13"/>
  <c r="H471" i="13"/>
  <c r="H480" i="13"/>
  <c r="H491" i="13"/>
  <c r="H500" i="13"/>
  <c r="H511" i="13"/>
  <c r="H520" i="13"/>
  <c r="H531" i="13"/>
  <c r="H540" i="13"/>
  <c r="H551" i="13"/>
  <c r="H560" i="13"/>
  <c r="H571" i="13"/>
  <c r="H285" i="13"/>
  <c r="H305" i="13"/>
  <c r="H325" i="13"/>
  <c r="H345" i="13"/>
  <c r="H358" i="13"/>
  <c r="H372" i="13"/>
  <c r="H385" i="13"/>
  <c r="H398" i="13"/>
  <c r="G398" i="13" s="1"/>
  <c r="H412" i="13"/>
  <c r="H425" i="13"/>
  <c r="H438" i="13"/>
  <c r="H452" i="13"/>
  <c r="H465" i="13"/>
  <c r="H478" i="13"/>
  <c r="H492" i="13"/>
  <c r="H505" i="13"/>
  <c r="H518" i="13"/>
  <c r="H532" i="13"/>
  <c r="H545" i="13"/>
  <c r="H558" i="13"/>
  <c r="H572" i="13"/>
  <c r="H593" i="13"/>
  <c r="N38" i="13"/>
  <c r="N46" i="13"/>
  <c r="N54" i="13"/>
  <c r="N62" i="13"/>
  <c r="N70" i="13"/>
  <c r="N78" i="13"/>
  <c r="N86" i="13"/>
  <c r="N94" i="13"/>
  <c r="N102" i="13"/>
  <c r="N110" i="13"/>
  <c r="N118" i="13"/>
  <c r="N126" i="13"/>
  <c r="N134" i="13"/>
  <c r="N142" i="13"/>
  <c r="N150" i="13"/>
  <c r="N158" i="13"/>
  <c r="N166" i="13"/>
  <c r="N174" i="13"/>
  <c r="N182" i="13"/>
  <c r="N190" i="13"/>
  <c r="L34" i="13"/>
  <c r="L42" i="13"/>
  <c r="L50" i="13"/>
  <c r="L58" i="13"/>
  <c r="L66" i="13"/>
  <c r="L74" i="13"/>
  <c r="L82" i="13"/>
  <c r="L90" i="13"/>
  <c r="L98" i="13"/>
  <c r="L106" i="13"/>
  <c r="L114" i="13"/>
  <c r="L122" i="13"/>
  <c r="L130" i="13"/>
  <c r="L138" i="13"/>
  <c r="L146" i="13"/>
  <c r="H286" i="13"/>
  <c r="H307" i="13"/>
  <c r="H326" i="13"/>
  <c r="H347" i="13"/>
  <c r="H359" i="13"/>
  <c r="H373" i="13"/>
  <c r="H387" i="13"/>
  <c r="H399" i="13"/>
  <c r="H413" i="13"/>
  <c r="H427" i="13"/>
  <c r="H439" i="13"/>
  <c r="G439" i="13" s="1"/>
  <c r="H453" i="13"/>
  <c r="H467" i="13"/>
  <c r="H479" i="13"/>
  <c r="H493" i="13"/>
  <c r="H507" i="13"/>
  <c r="H519" i="13"/>
  <c r="H533" i="13"/>
  <c r="H547" i="13"/>
  <c r="H559" i="13"/>
  <c r="H573" i="13"/>
  <c r="H585" i="13"/>
  <c r="H595" i="13"/>
  <c r="N39" i="13"/>
  <c r="N47" i="13"/>
  <c r="N55" i="13"/>
  <c r="N63" i="13"/>
  <c r="N71" i="13"/>
  <c r="N79" i="13"/>
  <c r="N87" i="13"/>
  <c r="N95" i="13"/>
  <c r="N103" i="13"/>
  <c r="N111" i="13"/>
  <c r="N119" i="13"/>
  <c r="N127" i="13"/>
  <c r="N135" i="13"/>
  <c r="N143" i="13"/>
  <c r="N151" i="13"/>
  <c r="N159" i="13"/>
  <c r="N167" i="13"/>
  <c r="N175" i="13"/>
  <c r="N183" i="13"/>
  <c r="N191" i="13"/>
  <c r="L35" i="13"/>
  <c r="L43" i="13"/>
  <c r="L51" i="13"/>
  <c r="L59" i="13"/>
  <c r="L67" i="13"/>
  <c r="L75" i="13"/>
  <c r="L83" i="13"/>
  <c r="L91" i="13"/>
  <c r="H289" i="13"/>
  <c r="H310" i="13"/>
  <c r="H329" i="13"/>
  <c r="H349" i="13"/>
  <c r="H374" i="13"/>
  <c r="G374" i="13" s="1"/>
  <c r="H389" i="13"/>
  <c r="H414" i="13"/>
  <c r="H429" i="13"/>
  <c r="H454" i="13"/>
  <c r="H469" i="13"/>
  <c r="H494" i="13"/>
  <c r="H509" i="13"/>
  <c r="H534" i="13"/>
  <c r="H549" i="13"/>
  <c r="H574" i="13"/>
  <c r="H587" i="13"/>
  <c r="H596" i="13"/>
  <c r="N32" i="13"/>
  <c r="N40" i="13"/>
  <c r="N48" i="13"/>
  <c r="N56" i="13"/>
  <c r="N64" i="13"/>
  <c r="N72" i="13"/>
  <c r="N80" i="13"/>
  <c r="N88" i="13"/>
  <c r="N96" i="13"/>
  <c r="N104" i="13"/>
  <c r="N112" i="13"/>
  <c r="N120" i="13"/>
  <c r="N128" i="13"/>
  <c r="N136" i="13"/>
  <c r="N144" i="13"/>
  <c r="N152" i="13"/>
  <c r="N160" i="13"/>
  <c r="N168" i="13"/>
  <c r="N176" i="13"/>
  <c r="N184" i="13"/>
  <c r="L36" i="13"/>
  <c r="L44" i="13"/>
  <c r="L52" i="13"/>
  <c r="L60" i="13"/>
  <c r="L68" i="13"/>
  <c r="H293" i="13"/>
  <c r="G293" i="13" s="1"/>
  <c r="H313" i="13"/>
  <c r="H333" i="13"/>
  <c r="G333" i="13" s="1"/>
  <c r="H350" i="13"/>
  <c r="H375" i="13"/>
  <c r="H390" i="13"/>
  <c r="H415" i="13"/>
  <c r="G415" i="13" s="1"/>
  <c r="H430" i="13"/>
  <c r="H455" i="13"/>
  <c r="H470" i="13"/>
  <c r="H495" i="13"/>
  <c r="H510" i="13"/>
  <c r="H535" i="13"/>
  <c r="H550" i="13"/>
  <c r="H575" i="13"/>
  <c r="H588" i="13"/>
  <c r="H597" i="13"/>
  <c r="N33" i="13"/>
  <c r="N41" i="13"/>
  <c r="N49" i="13"/>
  <c r="N57" i="13"/>
  <c r="N65" i="13"/>
  <c r="N73" i="13"/>
  <c r="N81" i="13"/>
  <c r="N89" i="13"/>
  <c r="N97" i="13"/>
  <c r="N105" i="13"/>
  <c r="N113" i="13"/>
  <c r="N121" i="13"/>
  <c r="N129" i="13"/>
  <c r="N137" i="13"/>
  <c r="N145" i="13"/>
  <c r="N153" i="13"/>
  <c r="N161" i="13"/>
  <c r="N169" i="13"/>
  <c r="N177" i="13"/>
  <c r="N185" i="13"/>
  <c r="L37" i="13"/>
  <c r="L45" i="13"/>
  <c r="L53" i="13"/>
  <c r="L61" i="13"/>
  <c r="L69" i="13"/>
  <c r="H294" i="13"/>
  <c r="H315" i="13"/>
  <c r="H334" i="13"/>
  <c r="H352" i="13"/>
  <c r="H365" i="13"/>
  <c r="H377" i="13"/>
  <c r="H392" i="13"/>
  <c r="H405" i="13"/>
  <c r="H417" i="13"/>
  <c r="H432" i="13"/>
  <c r="H445" i="13"/>
  <c r="H457" i="13"/>
  <c r="H472" i="13"/>
  <c r="H485" i="13"/>
  <c r="H497" i="13"/>
  <c r="H512" i="13"/>
  <c r="H525" i="13"/>
  <c r="H537" i="13"/>
  <c r="H552" i="13"/>
  <c r="H565" i="13"/>
  <c r="H577" i="13"/>
  <c r="H589" i="13"/>
  <c r="H598" i="13"/>
  <c r="G598" i="13" s="1"/>
  <c r="N34" i="13"/>
  <c r="N42" i="13"/>
  <c r="N50" i="13"/>
  <c r="N58" i="13"/>
  <c r="N66" i="13"/>
  <c r="N74" i="13"/>
  <c r="N82" i="13"/>
  <c r="N90" i="13"/>
  <c r="N98" i="13"/>
  <c r="N106" i="13"/>
  <c r="N114" i="13"/>
  <c r="N122" i="13"/>
  <c r="N130" i="13"/>
  <c r="N138" i="13"/>
  <c r="N146" i="13"/>
  <c r="N154" i="13"/>
  <c r="N162" i="13"/>
  <c r="N170" i="13"/>
  <c r="N178" i="13"/>
  <c r="N186" i="13"/>
  <c r="L38" i="13"/>
  <c r="L46" i="13"/>
  <c r="L54" i="13"/>
  <c r="L62" i="13"/>
  <c r="L70" i="13"/>
  <c r="L78" i="13"/>
  <c r="L86" i="13"/>
  <c r="L94" i="13"/>
  <c r="L102" i="13"/>
  <c r="L110" i="13"/>
  <c r="L118" i="13"/>
  <c r="L126" i="13"/>
  <c r="L134" i="13"/>
  <c r="L142" i="13"/>
  <c r="L150" i="13"/>
  <c r="L158" i="13"/>
  <c r="L166" i="13"/>
  <c r="L174" i="13"/>
  <c r="L182" i="13"/>
  <c r="L190" i="13"/>
  <c r="J34" i="13"/>
  <c r="J42" i="13"/>
  <c r="J50" i="13"/>
  <c r="J58" i="13"/>
  <c r="J66" i="13"/>
  <c r="J74" i="13"/>
  <c r="J82" i="13"/>
  <c r="J90" i="13"/>
  <c r="J98" i="13"/>
  <c r="J106" i="13"/>
  <c r="J114" i="13"/>
  <c r="J122" i="13"/>
  <c r="J130" i="13"/>
  <c r="J138" i="13"/>
  <c r="J146" i="13"/>
  <c r="J154" i="13"/>
  <c r="H295" i="13"/>
  <c r="H316" i="13"/>
  <c r="G316" i="13" s="1"/>
  <c r="H335" i="13"/>
  <c r="H353" i="13"/>
  <c r="H366" i="13"/>
  <c r="H379" i="13"/>
  <c r="H393" i="13"/>
  <c r="H406" i="13"/>
  <c r="H419" i="13"/>
  <c r="H433" i="13"/>
  <c r="H446" i="13"/>
  <c r="H459" i="13"/>
  <c r="H473" i="13"/>
  <c r="H486" i="13"/>
  <c r="H499" i="13"/>
  <c r="H513" i="13"/>
  <c r="H526" i="13"/>
  <c r="G526" i="13" s="1"/>
  <c r="H539" i="13"/>
  <c r="H553" i="13"/>
  <c r="H566" i="13"/>
  <c r="H579" i="13"/>
  <c r="H590" i="13"/>
  <c r="H599" i="13"/>
  <c r="N35" i="13"/>
  <c r="N43" i="13"/>
  <c r="N51" i="13"/>
  <c r="N59" i="13"/>
  <c r="N67" i="13"/>
  <c r="N75" i="13"/>
  <c r="N83" i="13"/>
  <c r="N91" i="13"/>
  <c r="N99" i="13"/>
  <c r="N107" i="13"/>
  <c r="N115" i="13"/>
  <c r="N123" i="13"/>
  <c r="N131" i="13"/>
  <c r="N139" i="13"/>
  <c r="N147" i="13"/>
  <c r="N155" i="13"/>
  <c r="N163" i="13"/>
  <c r="N171" i="13"/>
  <c r="N179" i="13"/>
  <c r="N187" i="13"/>
  <c r="L39" i="13"/>
  <c r="L47" i="13"/>
  <c r="L55" i="13"/>
  <c r="L63" i="13"/>
  <c r="L71" i="13"/>
  <c r="L79" i="13"/>
  <c r="L87" i="13"/>
  <c r="L95" i="13"/>
  <c r="L103" i="13"/>
  <c r="L111" i="13"/>
  <c r="L119" i="13"/>
  <c r="L127" i="13"/>
  <c r="L135" i="13"/>
  <c r="L143" i="13"/>
  <c r="H279" i="13"/>
  <c r="H299" i="13"/>
  <c r="H319" i="13"/>
  <c r="H339" i="13"/>
  <c r="H355" i="13"/>
  <c r="H368" i="13"/>
  <c r="H395" i="13"/>
  <c r="H408" i="13"/>
  <c r="G408" i="13" s="1"/>
  <c r="H435" i="13"/>
  <c r="H448" i="13"/>
  <c r="H475" i="13"/>
  <c r="H488" i="13"/>
  <c r="H515" i="13"/>
  <c r="H528" i="13"/>
  <c r="H555" i="13"/>
  <c r="H568" i="13"/>
  <c r="G568" i="13" s="1"/>
  <c r="H580" i="13"/>
  <c r="H591" i="13"/>
  <c r="H600" i="13"/>
  <c r="N36" i="13"/>
  <c r="N44" i="13"/>
  <c r="N52" i="13"/>
  <c r="N60" i="13"/>
  <c r="N68" i="13"/>
  <c r="N76" i="13"/>
  <c r="N84" i="13"/>
  <c r="N92" i="13"/>
  <c r="N100" i="13"/>
  <c r="N108" i="13"/>
  <c r="N116" i="13"/>
  <c r="N124" i="13"/>
  <c r="N132" i="13"/>
  <c r="N140" i="13"/>
  <c r="N148" i="13"/>
  <c r="N156" i="13"/>
  <c r="N164" i="13"/>
  <c r="N172" i="13"/>
  <c r="N180" i="13"/>
  <c r="N188" i="13"/>
  <c r="L32" i="13"/>
  <c r="L40" i="13"/>
  <c r="L48" i="13"/>
  <c r="L56" i="13"/>
  <c r="L64" i="13"/>
  <c r="L72" i="13"/>
  <c r="L80" i="13"/>
  <c r="L88" i="13"/>
  <c r="H356" i="13"/>
  <c r="H369" i="13"/>
  <c r="H396" i="13"/>
  <c r="H409" i="13"/>
  <c r="H436" i="13"/>
  <c r="H449" i="13"/>
  <c r="H476" i="13"/>
  <c r="H489" i="13"/>
  <c r="G489" i="13" s="1"/>
  <c r="H516" i="13"/>
  <c r="G516" i="13" s="1"/>
  <c r="H529" i="13"/>
  <c r="H556" i="13"/>
  <c r="H569" i="13"/>
  <c r="H592" i="13"/>
  <c r="N37" i="13"/>
  <c r="N45" i="13"/>
  <c r="N53" i="13"/>
  <c r="N61" i="13"/>
  <c r="N69" i="13"/>
  <c r="N77" i="13"/>
  <c r="N85" i="13"/>
  <c r="N93" i="13"/>
  <c r="N101" i="13"/>
  <c r="N109" i="13"/>
  <c r="N117" i="13"/>
  <c r="N125" i="13"/>
  <c r="N133" i="13"/>
  <c r="N141" i="13"/>
  <c r="N149" i="13"/>
  <c r="N157" i="13"/>
  <c r="N165" i="13"/>
  <c r="N173" i="13"/>
  <c r="N181" i="13"/>
  <c r="N189" i="13"/>
  <c r="L33" i="13"/>
  <c r="L41" i="13"/>
  <c r="L49" i="13"/>
  <c r="L57" i="13"/>
  <c r="L65" i="13"/>
  <c r="L73" i="13"/>
  <c r="L81" i="13"/>
  <c r="L89" i="13"/>
  <c r="L97" i="13"/>
  <c r="L105" i="13"/>
  <c r="L113" i="13"/>
  <c r="L121" i="13"/>
  <c r="L129" i="13"/>
  <c r="L137" i="13"/>
  <c r="L145" i="13"/>
  <c r="L153" i="13"/>
  <c r="L161" i="13"/>
  <c r="L169" i="13"/>
  <c r="L177" i="13"/>
  <c r="L185" i="13"/>
  <c r="J37" i="13"/>
  <c r="J45" i="13"/>
  <c r="J53" i="13"/>
  <c r="J61" i="13"/>
  <c r="J69" i="13"/>
  <c r="J77" i="13"/>
  <c r="J85" i="13"/>
  <c r="J93" i="13"/>
  <c r="J101" i="13"/>
  <c r="J109" i="13"/>
  <c r="J117" i="13"/>
  <c r="J125" i="13"/>
  <c r="J133" i="13"/>
  <c r="J141" i="13"/>
  <c r="J149" i="13"/>
  <c r="J157" i="13"/>
  <c r="L84" i="13"/>
  <c r="L104" i="13"/>
  <c r="L120" i="13"/>
  <c r="L136" i="13"/>
  <c r="L151" i="13"/>
  <c r="L162" i="13"/>
  <c r="L172" i="13"/>
  <c r="L183" i="13"/>
  <c r="J35" i="13"/>
  <c r="J46" i="13"/>
  <c r="J56" i="13"/>
  <c r="J67" i="13"/>
  <c r="J78" i="13"/>
  <c r="J88" i="13"/>
  <c r="J99" i="13"/>
  <c r="J110" i="13"/>
  <c r="J120" i="13"/>
  <c r="J131" i="13"/>
  <c r="J152" i="13"/>
  <c r="J162" i="13"/>
  <c r="J178" i="13"/>
  <c r="H38" i="13"/>
  <c r="H54" i="13"/>
  <c r="H70" i="13"/>
  <c r="H86" i="13"/>
  <c r="H102" i="13"/>
  <c r="H118" i="13"/>
  <c r="H134" i="13"/>
  <c r="H158" i="13"/>
  <c r="H174" i="13"/>
  <c r="H190" i="13"/>
  <c r="H95" i="13"/>
  <c r="H127" i="13"/>
  <c r="H159" i="13"/>
  <c r="H183" i="13"/>
  <c r="H104" i="13"/>
  <c r="H168" i="13"/>
  <c r="H137" i="13"/>
  <c r="L85" i="13"/>
  <c r="L107" i="13"/>
  <c r="L123" i="13"/>
  <c r="L139" i="13"/>
  <c r="L152" i="13"/>
  <c r="L163" i="13"/>
  <c r="L173" i="13"/>
  <c r="L184" i="13"/>
  <c r="J36" i="13"/>
  <c r="J47" i="13"/>
  <c r="J57" i="13"/>
  <c r="J68" i="13"/>
  <c r="J79" i="13"/>
  <c r="J89" i="13"/>
  <c r="J100" i="13"/>
  <c r="J111" i="13"/>
  <c r="J121" i="13"/>
  <c r="J132" i="13"/>
  <c r="J143" i="13"/>
  <c r="J153" i="13"/>
  <c r="J163" i="13"/>
  <c r="J171" i="13"/>
  <c r="J179" i="13"/>
  <c r="J187" i="13"/>
  <c r="H39" i="13"/>
  <c r="H47" i="13"/>
  <c r="H55" i="13"/>
  <c r="H63" i="13"/>
  <c r="H71" i="13"/>
  <c r="H79" i="13"/>
  <c r="H87" i="13"/>
  <c r="H103" i="13"/>
  <c r="H119" i="13"/>
  <c r="H143" i="13"/>
  <c r="H167" i="13"/>
  <c r="H191" i="13"/>
  <c r="H144" i="13"/>
  <c r="H169" i="13"/>
  <c r="L92" i="13"/>
  <c r="L108" i="13"/>
  <c r="L124" i="13"/>
  <c r="L140" i="13"/>
  <c r="L154" i="13"/>
  <c r="L164" i="13"/>
  <c r="L175" i="13"/>
  <c r="L186" i="13"/>
  <c r="J38" i="13"/>
  <c r="J48" i="13"/>
  <c r="J59" i="13"/>
  <c r="J70" i="13"/>
  <c r="J80" i="13"/>
  <c r="J91" i="13"/>
  <c r="J102" i="13"/>
  <c r="J112" i="13"/>
  <c r="J123" i="13"/>
  <c r="J134" i="13"/>
  <c r="J144" i="13"/>
  <c r="J155" i="13"/>
  <c r="J164" i="13"/>
  <c r="J172" i="13"/>
  <c r="J180" i="13"/>
  <c r="J188" i="13"/>
  <c r="H32" i="13"/>
  <c r="H40" i="13"/>
  <c r="H48" i="13"/>
  <c r="H56" i="13"/>
  <c r="H64" i="13"/>
  <c r="H72" i="13"/>
  <c r="H80" i="13"/>
  <c r="H88" i="13"/>
  <c r="H96" i="13"/>
  <c r="H120" i="13"/>
  <c r="H176" i="13"/>
  <c r="H185" i="13"/>
  <c r="L93" i="13"/>
  <c r="L109" i="13"/>
  <c r="L125" i="13"/>
  <c r="L141" i="13"/>
  <c r="L155" i="13"/>
  <c r="L165" i="13"/>
  <c r="L176" i="13"/>
  <c r="L187" i="13"/>
  <c r="J39" i="13"/>
  <c r="J49" i="13"/>
  <c r="J60" i="13"/>
  <c r="J71" i="13"/>
  <c r="J81" i="13"/>
  <c r="J92" i="13"/>
  <c r="J103" i="13"/>
  <c r="J113" i="13"/>
  <c r="J124" i="13"/>
  <c r="J135" i="13"/>
  <c r="J145" i="13"/>
  <c r="J156" i="13"/>
  <c r="J165" i="13"/>
  <c r="J173" i="13"/>
  <c r="J181" i="13"/>
  <c r="J189" i="13"/>
  <c r="H33" i="13"/>
  <c r="H41" i="13"/>
  <c r="H49" i="13"/>
  <c r="H57" i="13"/>
  <c r="H65" i="13"/>
  <c r="H73" i="13"/>
  <c r="H81" i="13"/>
  <c r="H89" i="13"/>
  <c r="H97" i="13"/>
  <c r="H105" i="13"/>
  <c r="H113" i="13"/>
  <c r="H121" i="13"/>
  <c r="H177" i="13"/>
  <c r="L96" i="13"/>
  <c r="L112" i="13"/>
  <c r="L128" i="13"/>
  <c r="L144" i="13"/>
  <c r="L156" i="13"/>
  <c r="L167" i="13"/>
  <c r="L178" i="13"/>
  <c r="L188" i="13"/>
  <c r="J40" i="13"/>
  <c r="J51" i="13"/>
  <c r="J62" i="13"/>
  <c r="J72" i="13"/>
  <c r="J83" i="13"/>
  <c r="J94" i="13"/>
  <c r="J104" i="13"/>
  <c r="J115" i="13"/>
  <c r="J126" i="13"/>
  <c r="J136" i="13"/>
  <c r="J147" i="13"/>
  <c r="J158" i="13"/>
  <c r="J166" i="13"/>
  <c r="J174" i="13"/>
  <c r="J182" i="13"/>
  <c r="J190" i="13"/>
  <c r="H34" i="13"/>
  <c r="H42" i="13"/>
  <c r="H50" i="13"/>
  <c r="H58" i="13"/>
  <c r="H66" i="13"/>
  <c r="H74" i="13"/>
  <c r="H82" i="13"/>
  <c r="H90" i="13"/>
  <c r="H98" i="13"/>
  <c r="H106" i="13"/>
  <c r="H114" i="13"/>
  <c r="H122" i="13"/>
  <c r="H130" i="13"/>
  <c r="H138" i="13"/>
  <c r="H146" i="13"/>
  <c r="H154" i="13"/>
  <c r="H162" i="13"/>
  <c r="H170" i="13"/>
  <c r="H178" i="13"/>
  <c r="H186" i="13"/>
  <c r="J137" i="13"/>
  <c r="J167" i="13"/>
  <c r="J183" i="13"/>
  <c r="H43" i="13"/>
  <c r="H59" i="13"/>
  <c r="H75" i="13"/>
  <c r="H91" i="13"/>
  <c r="H107" i="13"/>
  <c r="H123" i="13"/>
  <c r="H139" i="13"/>
  <c r="H155" i="13"/>
  <c r="H163" i="13"/>
  <c r="H179" i="13"/>
  <c r="H108" i="13"/>
  <c r="H132" i="13"/>
  <c r="H148" i="13"/>
  <c r="H172" i="13"/>
  <c r="H136" i="13"/>
  <c r="H161" i="13"/>
  <c r="L99" i="13"/>
  <c r="L115" i="13"/>
  <c r="L131" i="13"/>
  <c r="L147" i="13"/>
  <c r="L157" i="13"/>
  <c r="L168" i="13"/>
  <c r="L179" i="13"/>
  <c r="L189" i="13"/>
  <c r="J41" i="13"/>
  <c r="J52" i="13"/>
  <c r="J63" i="13"/>
  <c r="J73" i="13"/>
  <c r="J84" i="13"/>
  <c r="J95" i="13"/>
  <c r="J105" i="13"/>
  <c r="J116" i="13"/>
  <c r="J127" i="13"/>
  <c r="J148" i="13"/>
  <c r="J159" i="13"/>
  <c r="J175" i="13"/>
  <c r="J191" i="13"/>
  <c r="H35" i="13"/>
  <c r="H51" i="13"/>
  <c r="H67" i="13"/>
  <c r="H83" i="13"/>
  <c r="H99" i="13"/>
  <c r="H115" i="13"/>
  <c r="H131" i="13"/>
  <c r="H147" i="13"/>
  <c r="H171" i="13"/>
  <c r="H187" i="13"/>
  <c r="H92" i="13"/>
  <c r="H124" i="13"/>
  <c r="H156" i="13"/>
  <c r="H180" i="13"/>
  <c r="H112" i="13"/>
  <c r="H160" i="13"/>
  <c r="H145" i="13"/>
  <c r="L76" i="13"/>
  <c r="L100" i="13"/>
  <c r="L116" i="13"/>
  <c r="L132" i="13"/>
  <c r="L148" i="13"/>
  <c r="L159" i="13"/>
  <c r="L170" i="13"/>
  <c r="L180" i="13"/>
  <c r="L191" i="13"/>
  <c r="J32" i="13"/>
  <c r="J43" i="13"/>
  <c r="J54" i="13"/>
  <c r="J64" i="13"/>
  <c r="J75" i="13"/>
  <c r="J86" i="13"/>
  <c r="J96" i="13"/>
  <c r="J107" i="13"/>
  <c r="J118" i="13"/>
  <c r="J128" i="13"/>
  <c r="J139" i="13"/>
  <c r="J150" i="13"/>
  <c r="J160" i="13"/>
  <c r="J168" i="13"/>
  <c r="J176" i="13"/>
  <c r="J184" i="13"/>
  <c r="H36" i="13"/>
  <c r="H44" i="13"/>
  <c r="H52" i="13"/>
  <c r="H60" i="13"/>
  <c r="H68" i="13"/>
  <c r="H76" i="13"/>
  <c r="H84" i="13"/>
  <c r="H100" i="13"/>
  <c r="H116" i="13"/>
  <c r="H140" i="13"/>
  <c r="H164" i="13"/>
  <c r="H188" i="13"/>
  <c r="H152" i="13"/>
  <c r="H129" i="13"/>
  <c r="L77" i="13"/>
  <c r="L101" i="13"/>
  <c r="L117" i="13"/>
  <c r="L133" i="13"/>
  <c r="L149" i="13"/>
  <c r="L160" i="13"/>
  <c r="L171" i="13"/>
  <c r="L181" i="13"/>
  <c r="J33" i="13"/>
  <c r="J44" i="13"/>
  <c r="J55" i="13"/>
  <c r="J65" i="13"/>
  <c r="J76" i="13"/>
  <c r="J87" i="13"/>
  <c r="J97" i="13"/>
  <c r="J108" i="13"/>
  <c r="J119" i="13"/>
  <c r="J129" i="13"/>
  <c r="J140" i="13"/>
  <c r="J151" i="13"/>
  <c r="J161" i="13"/>
  <c r="J169" i="13"/>
  <c r="J177" i="13"/>
  <c r="J185" i="13"/>
  <c r="H37" i="13"/>
  <c r="H45" i="13"/>
  <c r="H53" i="13"/>
  <c r="H61" i="13"/>
  <c r="H69" i="13"/>
  <c r="H77" i="13"/>
  <c r="H85" i="13"/>
  <c r="H93" i="13"/>
  <c r="H101" i="13"/>
  <c r="H109" i="13"/>
  <c r="H117" i="13"/>
  <c r="H125" i="13"/>
  <c r="H133" i="13"/>
  <c r="H141" i="13"/>
  <c r="H149" i="13"/>
  <c r="H157" i="13"/>
  <c r="H165" i="13"/>
  <c r="H173" i="13"/>
  <c r="H181" i="13"/>
  <c r="H189" i="13"/>
  <c r="J142" i="13"/>
  <c r="J170" i="13"/>
  <c r="J186" i="13"/>
  <c r="H46" i="13"/>
  <c r="H62" i="13"/>
  <c r="H78" i="13"/>
  <c r="H94" i="13"/>
  <c r="H110" i="13"/>
  <c r="H126" i="13"/>
  <c r="H142" i="13"/>
  <c r="H150" i="13"/>
  <c r="H166" i="13"/>
  <c r="H182" i="13"/>
  <c r="H111" i="13"/>
  <c r="H135" i="13"/>
  <c r="H151" i="13"/>
  <c r="H175" i="13"/>
  <c r="H128" i="13"/>
  <c r="H184" i="13"/>
  <c r="H153" i="13"/>
  <c r="N701" i="13"/>
  <c r="N621" i="13"/>
  <c r="H652" i="13"/>
  <c r="H683" i="13"/>
  <c r="H619" i="13"/>
  <c r="H650" i="13"/>
  <c r="J681" i="13"/>
  <c r="H617" i="13"/>
  <c r="H648" i="13"/>
  <c r="J679" i="13"/>
  <c r="H615" i="13"/>
  <c r="J677" i="13"/>
  <c r="N613" i="13"/>
  <c r="H644" i="13"/>
  <c r="L675" i="13"/>
  <c r="H611" i="13"/>
  <c r="H642" i="13"/>
  <c r="H673" i="13"/>
  <c r="H609" i="13"/>
  <c r="H640" i="13"/>
  <c r="H671" i="13"/>
  <c r="H607" i="13"/>
  <c r="L669" i="13"/>
  <c r="N635" i="13"/>
  <c r="L653" i="13"/>
  <c r="J675" i="13"/>
  <c r="L667" i="13"/>
  <c r="N633" i="13"/>
  <c r="J690" i="13"/>
  <c r="L625" i="13"/>
  <c r="H690" i="13"/>
  <c r="N623" i="13"/>
  <c r="L699" i="13"/>
  <c r="L631" i="13"/>
  <c r="N697" i="13"/>
  <c r="H678" i="13"/>
  <c r="J662" i="13"/>
  <c r="J646" i="13"/>
  <c r="J630" i="13"/>
  <c r="J614" i="13"/>
  <c r="L686" i="13"/>
  <c r="H685" i="13"/>
  <c r="H661" i="13"/>
  <c r="H629" i="13"/>
  <c r="N678" i="13"/>
  <c r="L680" i="13"/>
  <c r="J657" i="13"/>
  <c r="J635" i="13"/>
  <c r="J615" i="13"/>
  <c r="N687" i="13"/>
  <c r="L687" i="13"/>
  <c r="N660" i="13"/>
  <c r="N640" i="13"/>
  <c r="N618" i="13"/>
  <c r="J689" i="13"/>
  <c r="L666" i="13"/>
  <c r="L644" i="13"/>
  <c r="L624" i="13"/>
  <c r="J698" i="13"/>
  <c r="J672" i="13"/>
  <c r="J650" i="13"/>
  <c r="J628" i="13"/>
  <c r="J608" i="13"/>
  <c r="J586" i="13"/>
  <c r="J506" i="13"/>
  <c r="J426" i="13"/>
  <c r="J346" i="13"/>
  <c r="G346" i="13" s="1"/>
  <c r="J266" i="13"/>
  <c r="N669" i="13"/>
  <c r="H700" i="13"/>
  <c r="H636" i="13"/>
  <c r="H667" i="13"/>
  <c r="H698" i="13"/>
  <c r="H634" i="13"/>
  <c r="H665" i="13"/>
  <c r="J696" i="13"/>
  <c r="H632" i="13"/>
  <c r="H663" i="13"/>
  <c r="N661" i="13"/>
  <c r="L692" i="13"/>
  <c r="H628" i="13"/>
  <c r="H659" i="13"/>
  <c r="L690" i="13"/>
  <c r="H626" i="13"/>
  <c r="H657" i="13"/>
  <c r="N688" i="13"/>
  <c r="H624" i="13"/>
  <c r="H655" i="13"/>
  <c r="N653" i="13"/>
  <c r="H684" i="13"/>
  <c r="H620" i="13"/>
  <c r="H651" i="13"/>
  <c r="H682" i="13"/>
  <c r="H618" i="13"/>
  <c r="H649" i="13"/>
  <c r="H680" i="13"/>
  <c r="H616" i="13"/>
  <c r="H647" i="13"/>
  <c r="N645" i="13"/>
  <c r="H676" i="13"/>
  <c r="H612" i="13"/>
  <c r="H643" i="13"/>
  <c r="H674" i="13"/>
  <c r="H610" i="13"/>
  <c r="H641" i="13"/>
  <c r="H672" i="13"/>
  <c r="H608" i="13"/>
  <c r="H639" i="13"/>
  <c r="N637" i="13"/>
  <c r="H668" i="13"/>
  <c r="H699" i="13"/>
  <c r="H635" i="13"/>
  <c r="H666" i="13"/>
  <c r="H697" i="13"/>
  <c r="H633" i="13"/>
  <c r="H664" i="13"/>
  <c r="H695" i="13"/>
  <c r="H631" i="13"/>
  <c r="N659" i="13"/>
  <c r="H677" i="13"/>
  <c r="J692" i="13"/>
  <c r="L627" i="13"/>
  <c r="N657" i="13"/>
  <c r="L649" i="13"/>
  <c r="N647" i="13"/>
  <c r="L655" i="13"/>
  <c r="N694" i="13"/>
  <c r="L670" i="13"/>
  <c r="L654" i="13"/>
  <c r="L638" i="13"/>
  <c r="L622" i="13"/>
  <c r="L606" i="13"/>
  <c r="J693" i="13"/>
  <c r="N677" i="13"/>
  <c r="J645" i="13"/>
  <c r="J613" i="13"/>
  <c r="H688" i="13"/>
  <c r="J665" i="13"/>
  <c r="J643" i="13"/>
  <c r="J623" i="13"/>
  <c r="J695" i="13"/>
  <c r="N698" i="13"/>
  <c r="N668" i="13"/>
  <c r="N648" i="13"/>
  <c r="N626" i="13"/>
  <c r="L700" i="13"/>
  <c r="J674" i="13"/>
  <c r="L652" i="13"/>
  <c r="L632" i="13"/>
  <c r="L610" i="13"/>
  <c r="L681" i="13"/>
  <c r="J658" i="13"/>
  <c r="J636" i="13"/>
  <c r="J616" i="13"/>
  <c r="J538" i="13"/>
  <c r="G538" i="13" s="1"/>
  <c r="J458" i="13"/>
  <c r="J378" i="13"/>
  <c r="J298" i="13"/>
  <c r="N629" i="13"/>
  <c r="H660" i="13"/>
  <c r="H691" i="13"/>
  <c r="H627" i="13"/>
  <c r="H658" i="13"/>
  <c r="H689" i="13"/>
  <c r="H625" i="13"/>
  <c r="H656" i="13"/>
  <c r="H687" i="13"/>
  <c r="H623" i="13"/>
  <c r="N627" i="13"/>
  <c r="L645" i="13"/>
  <c r="N682" i="13"/>
  <c r="L619" i="13"/>
  <c r="N649" i="13"/>
  <c r="L641" i="13"/>
  <c r="N639" i="13"/>
  <c r="L647" i="13"/>
  <c r="N686" i="13"/>
  <c r="N670" i="13"/>
  <c r="N654" i="13"/>
  <c r="N638" i="13"/>
  <c r="N622" i="13"/>
  <c r="N606" i="13"/>
  <c r="L693" i="13"/>
  <c r="H669" i="13"/>
  <c r="H637" i="13"/>
  <c r="L701" i="13"/>
  <c r="J684" i="13"/>
  <c r="J663" i="13"/>
  <c r="J641" i="13"/>
  <c r="L637" i="13"/>
  <c r="N695" i="13"/>
  <c r="N611" i="13"/>
  <c r="L611" i="13"/>
  <c r="L633" i="13"/>
  <c r="N663" i="13"/>
  <c r="L688" i="13"/>
  <c r="J678" i="13"/>
  <c r="J654" i="13"/>
  <c r="H694" i="13"/>
  <c r="N685" i="13"/>
  <c r="N691" i="13"/>
  <c r="J619" i="13"/>
  <c r="L674" i="13"/>
  <c r="N616" i="13"/>
  <c r="L650" i="13"/>
  <c r="J656" i="13"/>
  <c r="N684" i="13"/>
  <c r="N609" i="13"/>
  <c r="L617" i="13"/>
  <c r="N655" i="13"/>
  <c r="H679" i="13"/>
  <c r="L678" i="13"/>
  <c r="H646" i="13"/>
  <c r="H622" i="13"/>
  <c r="L677" i="13"/>
  <c r="H621" i="13"/>
  <c r="J682" i="13"/>
  <c r="J649" i="13"/>
  <c r="J617" i="13"/>
  <c r="L676" i="13"/>
  <c r="N672" i="13"/>
  <c r="N642" i="13"/>
  <c r="N612" i="13"/>
  <c r="N679" i="13"/>
  <c r="L648" i="13"/>
  <c r="L618" i="13"/>
  <c r="J683" i="13"/>
  <c r="J652" i="13"/>
  <c r="J624" i="13"/>
  <c r="L621" i="13"/>
  <c r="H692" i="13"/>
  <c r="L609" i="13"/>
  <c r="N631" i="13"/>
  <c r="L671" i="13"/>
  <c r="J688" i="13"/>
  <c r="H670" i="13"/>
  <c r="L646" i="13"/>
  <c r="J622" i="13"/>
  <c r="H701" i="13"/>
  <c r="J669" i="13"/>
  <c r="J621" i="13"/>
  <c r="N676" i="13"/>
  <c r="J647" i="13"/>
  <c r="J611" i="13"/>
  <c r="N674" i="13"/>
  <c r="N666" i="13"/>
  <c r="N636" i="13"/>
  <c r="N610" i="13"/>
  <c r="L684" i="13"/>
  <c r="H675" i="13"/>
  <c r="L682" i="13"/>
  <c r="N615" i="13"/>
  <c r="L663" i="13"/>
  <c r="J670" i="13"/>
  <c r="N646" i="13"/>
  <c r="H614" i="13"/>
  <c r="J701" i="13"/>
  <c r="J661" i="13"/>
  <c r="H613" i="13"/>
  <c r="J673" i="13"/>
  <c r="J639" i="13"/>
  <c r="J609" i="13"/>
  <c r="N700" i="13"/>
  <c r="N664" i="13"/>
  <c r="N634" i="13"/>
  <c r="N608" i="13"/>
  <c r="L668" i="13"/>
  <c r="L640" i="13"/>
  <c r="L612" i="13"/>
  <c r="N675" i="13"/>
  <c r="J644" i="13"/>
  <c r="J618" i="13"/>
  <c r="J546" i="13"/>
  <c r="J434" i="13"/>
  <c r="J330" i="13"/>
  <c r="G330" i="13" s="1"/>
  <c r="H681" i="13"/>
  <c r="L614" i="13"/>
  <c r="J686" i="13"/>
  <c r="J633" i="13"/>
  <c r="J691" i="13"/>
  <c r="N632" i="13"/>
  <c r="L664" i="13"/>
  <c r="L608" i="13"/>
  <c r="J642" i="13"/>
  <c r="N667" i="13"/>
  <c r="N651" i="13"/>
  <c r="L659" i="13"/>
  <c r="N673" i="13"/>
  <c r="N607" i="13"/>
  <c r="L639" i="13"/>
  <c r="H662" i="13"/>
  <c r="H638" i="13"/>
  <c r="H693" i="13"/>
  <c r="H653" i="13"/>
  <c r="J671" i="13"/>
  <c r="J607" i="13"/>
  <c r="N658" i="13"/>
  <c r="L698" i="13"/>
  <c r="L636" i="13"/>
  <c r="J668" i="13"/>
  <c r="H696" i="13"/>
  <c r="N619" i="13"/>
  <c r="L651" i="13"/>
  <c r="N665" i="13"/>
  <c r="L673" i="13"/>
  <c r="N699" i="13"/>
  <c r="L623" i="13"/>
  <c r="J694" i="13"/>
  <c r="L662" i="13"/>
  <c r="J638" i="13"/>
  <c r="N614" i="13"/>
  <c r="N693" i="13"/>
  <c r="J653" i="13"/>
  <c r="J699" i="13"/>
  <c r="J667" i="13"/>
  <c r="J631" i="13"/>
  <c r="J697" i="13"/>
  <c r="L689" i="13"/>
  <c r="N656" i="13"/>
  <c r="N628" i="13"/>
  <c r="N696" i="13"/>
  <c r="L660" i="13"/>
  <c r="L634" i="13"/>
  <c r="J700" i="13"/>
  <c r="J666" i="13"/>
  <c r="J640" i="13"/>
  <c r="J610" i="13"/>
  <c r="L661" i="13"/>
  <c r="L613" i="13"/>
  <c r="L643" i="13"/>
  <c r="N641" i="13"/>
  <c r="L665" i="13"/>
  <c r="N680" i="13"/>
  <c r="L615" i="13"/>
  <c r="L694" i="13"/>
  <c r="N662" i="13"/>
  <c r="H630" i="13"/>
  <c r="H606" i="13"/>
  <c r="J685" i="13"/>
  <c r="H645" i="13"/>
  <c r="L697" i="13"/>
  <c r="J659" i="13"/>
  <c r="J627" i="13"/>
  <c r="L691" i="13"/>
  <c r="N683" i="13"/>
  <c r="N652" i="13"/>
  <c r="N624" i="13"/>
  <c r="J687" i="13"/>
  <c r="L629" i="13"/>
  <c r="N643" i="13"/>
  <c r="L635" i="13"/>
  <c r="N625" i="13"/>
  <c r="L657" i="13"/>
  <c r="N671" i="13"/>
  <c r="L607" i="13"/>
  <c r="H686" i="13"/>
  <c r="H654" i="13"/>
  <c r="L630" i="13"/>
  <c r="J606" i="13"/>
  <c r="L685" i="13"/>
  <c r="J637" i="13"/>
  <c r="L695" i="13"/>
  <c r="J655" i="13"/>
  <c r="J625" i="13"/>
  <c r="N689" i="13"/>
  <c r="J676" i="13"/>
  <c r="N650" i="13"/>
  <c r="N620" i="13"/>
  <c r="L683" i="13"/>
  <c r="L656" i="13"/>
  <c r="L626" i="13"/>
  <c r="N692" i="13"/>
  <c r="J660" i="13"/>
  <c r="J632" i="13"/>
  <c r="J594" i="13"/>
  <c r="J490" i="13"/>
  <c r="J386" i="13"/>
  <c r="J274" i="13"/>
  <c r="G274" i="13" s="1"/>
  <c r="N617" i="13"/>
  <c r="N630" i="13"/>
  <c r="J629" i="13"/>
  <c r="J651" i="13"/>
  <c r="J680" i="13"/>
  <c r="N644" i="13"/>
  <c r="N681" i="13"/>
  <c r="L620" i="13"/>
  <c r="N690" i="13"/>
  <c r="J626" i="13"/>
  <c r="J530" i="13"/>
  <c r="J620" i="13"/>
  <c r="L628" i="13"/>
  <c r="J612" i="13"/>
  <c r="J514" i="13"/>
  <c r="J370" i="13"/>
  <c r="L616" i="13"/>
  <c r="J498" i="13"/>
  <c r="J354" i="13"/>
  <c r="L696" i="13"/>
  <c r="J474" i="13"/>
  <c r="J338" i="13"/>
  <c r="L679" i="13"/>
  <c r="J466" i="13"/>
  <c r="J314" i="13"/>
  <c r="G314" i="13" s="1"/>
  <c r="J664" i="13"/>
  <c r="J578" i="13"/>
  <c r="G578" i="13" s="1"/>
  <c r="J450" i="13"/>
  <c r="J306" i="13"/>
  <c r="L672" i="13"/>
  <c r="J648" i="13"/>
  <c r="J570" i="13"/>
  <c r="J418" i="13"/>
  <c r="G418" i="13" s="1"/>
  <c r="J290" i="13"/>
  <c r="L658" i="13"/>
  <c r="J634" i="13"/>
  <c r="J554" i="13"/>
  <c r="J410" i="13"/>
  <c r="J258" i="13"/>
  <c r="L642" i="13"/>
  <c r="J394" i="13"/>
  <c r="G394" i="13" s="1"/>
  <c r="J250" i="13"/>
  <c r="A580" i="13"/>
  <c r="A340" i="13"/>
  <c r="A421" i="13"/>
  <c r="A360" i="13"/>
  <c r="A320" i="13"/>
  <c r="A280" i="13"/>
  <c r="A441" i="13"/>
  <c r="A460" i="13"/>
  <c r="A300" i="13"/>
  <c r="A600" i="13"/>
  <c r="A400" i="13"/>
  <c r="A240" i="13"/>
  <c r="A520" i="13"/>
  <c r="A480" i="13"/>
  <c r="A380" i="13"/>
  <c r="A260" i="13"/>
  <c r="A500" i="13"/>
  <c r="A540" i="13"/>
  <c r="A560" i="13"/>
  <c r="K24" i="8"/>
  <c r="J26" i="8"/>
  <c r="G326" i="13" l="1"/>
  <c r="G413" i="13"/>
  <c r="G368" i="13"/>
  <c r="G365" i="13"/>
  <c r="G390" i="13"/>
  <c r="G494" i="13"/>
  <c r="G295" i="13"/>
  <c r="G375" i="13"/>
  <c r="G135" i="13"/>
  <c r="G94" i="13"/>
  <c r="G188" i="13"/>
  <c r="G571" i="13"/>
  <c r="G491" i="13"/>
  <c r="G411" i="13"/>
  <c r="G331" i="13"/>
  <c r="G251" i="13"/>
  <c r="G288" i="13"/>
  <c r="G487" i="13"/>
  <c r="G407" i="13"/>
  <c r="G327" i="13"/>
  <c r="G247" i="13"/>
  <c r="G36" i="13"/>
  <c r="G506" i="13"/>
  <c r="G189" i="13"/>
  <c r="G125" i="13"/>
  <c r="G61" i="13"/>
  <c r="G60" i="13"/>
  <c r="G172" i="13"/>
  <c r="G138" i="13"/>
  <c r="G74" i="13"/>
  <c r="G48" i="13"/>
  <c r="G459" i="13"/>
  <c r="G353" i="13"/>
  <c r="G497" i="13"/>
  <c r="G392" i="13"/>
  <c r="G534" i="13"/>
  <c r="G547" i="13"/>
  <c r="G505" i="13"/>
  <c r="G586" i="13"/>
  <c r="G449" i="13"/>
  <c r="G445" i="13"/>
  <c r="G551" i="13"/>
  <c r="G311" i="13"/>
  <c r="G276" i="13"/>
  <c r="G570" i="13"/>
  <c r="G446" i="13"/>
  <c r="G509" i="13"/>
  <c r="G349" i="13"/>
  <c r="G572" i="13"/>
  <c r="G358" i="13"/>
  <c r="G594" i="13"/>
  <c r="G429" i="13"/>
  <c r="G110" i="13"/>
  <c r="G62" i="13"/>
  <c r="G109" i="13"/>
  <c r="G45" i="13"/>
  <c r="G44" i="13"/>
  <c r="G91" i="13"/>
  <c r="G569" i="13"/>
  <c r="G433" i="13"/>
  <c r="G577" i="13"/>
  <c r="G329" i="13"/>
  <c r="G265" i="13"/>
  <c r="G46" i="13"/>
  <c r="G37" i="13"/>
  <c r="G99" i="13"/>
  <c r="G88" i="13"/>
  <c r="G115" i="13"/>
  <c r="G356" i="13"/>
  <c r="G372" i="13"/>
  <c r="G386" i="13"/>
  <c r="G546" i="13"/>
  <c r="G180" i="13"/>
  <c r="G472" i="13"/>
  <c r="G286" i="13"/>
  <c r="G410" i="13"/>
  <c r="G153" i="13"/>
  <c r="G165" i="13"/>
  <c r="G101" i="13"/>
  <c r="G116" i="13"/>
  <c r="G114" i="13"/>
  <c r="G50" i="13"/>
  <c r="G105" i="13"/>
  <c r="G41" i="13"/>
  <c r="G515" i="13"/>
  <c r="G355" i="13"/>
  <c r="G507" i="13"/>
  <c r="G399" i="13"/>
  <c r="G376" i="13"/>
  <c r="G267" i="13"/>
  <c r="G254" i="13"/>
  <c r="G258" i="13"/>
  <c r="G528" i="13"/>
  <c r="G478" i="13"/>
  <c r="G514" i="13"/>
  <c r="G85" i="13"/>
  <c r="G600" i="13"/>
  <c r="G319" i="13"/>
  <c r="G455" i="13"/>
  <c r="G360" i="13"/>
  <c r="G270" i="13"/>
  <c r="G318" i="13"/>
  <c r="G517" i="13"/>
  <c r="G437" i="13"/>
  <c r="G357" i="13"/>
  <c r="G277" i="13"/>
  <c r="G539" i="13"/>
  <c r="G495" i="13"/>
  <c r="G471" i="13"/>
  <c r="G338" i="13"/>
  <c r="G306" i="13"/>
  <c r="G448" i="13"/>
  <c r="G590" i="13"/>
  <c r="G486" i="13"/>
  <c r="G597" i="13"/>
  <c r="G498" i="13"/>
  <c r="G68" i="13"/>
  <c r="G559" i="13"/>
  <c r="G453" i="13"/>
  <c r="G518" i="13"/>
  <c r="G412" i="13"/>
  <c r="G285" i="13"/>
  <c r="G566" i="13"/>
  <c r="G292" i="13"/>
  <c r="G466" i="13"/>
  <c r="G370" i="13"/>
  <c r="G434" i="13"/>
  <c r="G426" i="13"/>
  <c r="G111" i="13"/>
  <c r="G78" i="13"/>
  <c r="G181" i="13"/>
  <c r="G117" i="13"/>
  <c r="G53" i="13"/>
  <c r="G112" i="13"/>
  <c r="G131" i="13"/>
  <c r="G130" i="13"/>
  <c r="G66" i="13"/>
  <c r="G57" i="13"/>
  <c r="G120" i="13"/>
  <c r="G40" i="13"/>
  <c r="G143" i="13"/>
  <c r="G47" i="13"/>
  <c r="G592" i="13"/>
  <c r="G476" i="13"/>
  <c r="G369" i="13"/>
  <c r="G555" i="13"/>
  <c r="G395" i="13"/>
  <c r="G553" i="13"/>
  <c r="G335" i="13"/>
  <c r="G589" i="13"/>
  <c r="G485" i="13"/>
  <c r="G377" i="13"/>
  <c r="G510" i="13"/>
  <c r="G533" i="13"/>
  <c r="G427" i="13"/>
  <c r="G307" i="13"/>
  <c r="G593" i="13"/>
  <c r="G492" i="13"/>
  <c r="G385" i="13"/>
  <c r="G278" i="13"/>
  <c r="G275" i="13"/>
  <c r="G253" i="13"/>
  <c r="G272" i="13"/>
  <c r="G182" i="13"/>
  <c r="G58" i="13"/>
  <c r="G113" i="13"/>
  <c r="G122" i="13"/>
  <c r="G49" i="13"/>
  <c r="G166" i="13"/>
  <c r="G178" i="13"/>
  <c r="G127" i="13"/>
  <c r="G352" i="13"/>
  <c r="G469" i="13"/>
  <c r="G465" i="13"/>
  <c r="G536" i="13"/>
  <c r="G173" i="13"/>
  <c r="G102" i="13"/>
  <c r="G556" i="13"/>
  <c r="G457" i="13"/>
  <c r="G456" i="13"/>
  <c r="G296" i="13"/>
  <c r="G554" i="13"/>
  <c r="G474" i="13"/>
  <c r="G701" i="13"/>
  <c r="K701" i="13" s="1"/>
  <c r="G692" i="13"/>
  <c r="M692" i="13" s="1"/>
  <c r="G687" i="13"/>
  <c r="K687" i="13" s="1"/>
  <c r="G699" i="13"/>
  <c r="M699" i="13" s="1"/>
  <c r="G674" i="13"/>
  <c r="I674" i="13" s="1"/>
  <c r="G649" i="13"/>
  <c r="M649" i="13" s="1"/>
  <c r="G184" i="13"/>
  <c r="G93" i="13"/>
  <c r="G100" i="13"/>
  <c r="G124" i="13"/>
  <c r="G59" i="13"/>
  <c r="G170" i="13"/>
  <c r="G106" i="13"/>
  <c r="G42" i="13"/>
  <c r="G436" i="13"/>
  <c r="G488" i="13"/>
  <c r="G339" i="13"/>
  <c r="G513" i="13"/>
  <c r="G406" i="13"/>
  <c r="G552" i="13"/>
  <c r="G334" i="13"/>
  <c r="G575" i="13"/>
  <c r="G470" i="13"/>
  <c r="G596" i="13"/>
  <c r="G454" i="13"/>
  <c r="G289" i="13"/>
  <c r="G595" i="13"/>
  <c r="G493" i="13"/>
  <c r="G387" i="13"/>
  <c r="G558" i="13"/>
  <c r="G452" i="13"/>
  <c r="G345" i="13"/>
  <c r="G328" i="13"/>
  <c r="G248" i="13"/>
  <c r="G527" i="13"/>
  <c r="G447" i="13"/>
  <c r="G367" i="13"/>
  <c r="G287" i="13"/>
  <c r="G255" i="13"/>
  <c r="G245" i="13"/>
  <c r="G490" i="13"/>
  <c r="G156" i="13"/>
  <c r="G419" i="13"/>
  <c r="G450" i="13"/>
  <c r="G653" i="13"/>
  <c r="K653" i="13" s="1"/>
  <c r="G298" i="13"/>
  <c r="G631" i="13"/>
  <c r="O631" i="13" s="1"/>
  <c r="G128" i="13"/>
  <c r="G84" i="13"/>
  <c r="G92" i="13"/>
  <c r="G67" i="13"/>
  <c r="G163" i="13"/>
  <c r="G162" i="13"/>
  <c r="G98" i="13"/>
  <c r="G34" i="13"/>
  <c r="G89" i="13"/>
  <c r="G79" i="13"/>
  <c r="G529" i="13"/>
  <c r="G475" i="13"/>
  <c r="G599" i="13"/>
  <c r="G499" i="13"/>
  <c r="G393" i="13"/>
  <c r="G537" i="13"/>
  <c r="G432" i="13"/>
  <c r="G315" i="13"/>
  <c r="G350" i="13"/>
  <c r="G587" i="13"/>
  <c r="G585" i="13"/>
  <c r="G479" i="13"/>
  <c r="G373" i="13"/>
  <c r="G545" i="13"/>
  <c r="G438" i="13"/>
  <c r="G325" i="13"/>
  <c r="G520" i="13"/>
  <c r="G440" i="13"/>
  <c r="G280" i="13"/>
  <c r="G246" i="13"/>
  <c r="G565" i="13"/>
  <c r="G588" i="13"/>
  <c r="G618" i="13"/>
  <c r="M618" i="13" s="1"/>
  <c r="G663" i="13"/>
  <c r="O663" i="13" s="1"/>
  <c r="G142" i="13"/>
  <c r="G354" i="13"/>
  <c r="G530" i="13"/>
  <c r="G378" i="13"/>
  <c r="G175" i="13"/>
  <c r="G126" i="13"/>
  <c r="G141" i="13"/>
  <c r="G187" i="13"/>
  <c r="G51" i="13"/>
  <c r="G155" i="13"/>
  <c r="G154" i="13"/>
  <c r="G90" i="13"/>
  <c r="G144" i="13"/>
  <c r="G409" i="13"/>
  <c r="G591" i="13"/>
  <c r="G299" i="13"/>
  <c r="G379" i="13"/>
  <c r="G525" i="13"/>
  <c r="G417" i="13"/>
  <c r="G294" i="13"/>
  <c r="G550" i="13"/>
  <c r="G574" i="13"/>
  <c r="G414" i="13"/>
  <c r="G573" i="13"/>
  <c r="G467" i="13"/>
  <c r="G532" i="13"/>
  <c r="G425" i="13"/>
  <c r="G305" i="13"/>
  <c r="G511" i="13"/>
  <c r="G431" i="13"/>
  <c r="G351" i="13"/>
  <c r="G271" i="13"/>
  <c r="G259" i="13"/>
  <c r="G309" i="13"/>
  <c r="G508" i="13"/>
  <c r="G428" i="13"/>
  <c r="G348" i="13"/>
  <c r="G268" i="13"/>
  <c r="G310" i="13"/>
  <c r="G250" i="13"/>
  <c r="G290" i="13"/>
  <c r="G625" i="13"/>
  <c r="K625" i="13" s="1"/>
  <c r="G458" i="13"/>
  <c r="G266" i="13"/>
  <c r="G151" i="13"/>
  <c r="G133" i="13"/>
  <c r="G69" i="13"/>
  <c r="G152" i="13"/>
  <c r="G145" i="13"/>
  <c r="G35" i="13"/>
  <c r="G136" i="13"/>
  <c r="G146" i="13"/>
  <c r="G82" i="13"/>
  <c r="G396" i="13"/>
  <c r="G580" i="13"/>
  <c r="G435" i="13"/>
  <c r="G279" i="13"/>
  <c r="G579" i="13"/>
  <c r="G473" i="13"/>
  <c r="G366" i="13"/>
  <c r="G512" i="13"/>
  <c r="G405" i="13"/>
  <c r="G535" i="13"/>
  <c r="G430" i="13"/>
  <c r="G313" i="13"/>
  <c r="G549" i="13"/>
  <c r="G389" i="13"/>
  <c r="G347" i="13"/>
  <c r="G500" i="13"/>
  <c r="G420" i="13"/>
  <c r="G340" i="13"/>
  <c r="G260" i="13"/>
  <c r="G249" i="13"/>
  <c r="G297" i="13"/>
  <c r="G496" i="13"/>
  <c r="G416" i="13"/>
  <c r="G336" i="13"/>
  <c r="G256" i="13"/>
  <c r="G312" i="13"/>
  <c r="G613" i="13"/>
  <c r="G679" i="13"/>
  <c r="G658" i="13"/>
  <c r="G633" i="13"/>
  <c r="G608" i="13"/>
  <c r="G620" i="13"/>
  <c r="G665" i="13"/>
  <c r="G661" i="13"/>
  <c r="G609" i="13"/>
  <c r="G615" i="13"/>
  <c r="G652" i="13"/>
  <c r="G157" i="13"/>
  <c r="G108" i="13"/>
  <c r="G81" i="13"/>
  <c r="G80" i="13"/>
  <c r="G137" i="13"/>
  <c r="G174" i="13"/>
  <c r="G38" i="13"/>
  <c r="G540" i="13"/>
  <c r="G460" i="13"/>
  <c r="G380" i="13"/>
  <c r="G300" i="13"/>
  <c r="G269" i="13"/>
  <c r="G557" i="13"/>
  <c r="G477" i="13"/>
  <c r="G397" i="13"/>
  <c r="G317" i="13"/>
  <c r="G662" i="13"/>
  <c r="G606" i="13"/>
  <c r="G675" i="13"/>
  <c r="G627" i="13"/>
  <c r="G697" i="13"/>
  <c r="G672" i="13"/>
  <c r="G647" i="13"/>
  <c r="G684" i="13"/>
  <c r="G659" i="13"/>
  <c r="G634" i="13"/>
  <c r="G685" i="13"/>
  <c r="G673" i="13"/>
  <c r="G149" i="13"/>
  <c r="G164" i="13"/>
  <c r="G52" i="13"/>
  <c r="G171" i="13"/>
  <c r="G161" i="13"/>
  <c r="G75" i="13"/>
  <c r="G73" i="13"/>
  <c r="G72" i="13"/>
  <c r="G119" i="13"/>
  <c r="G39" i="13"/>
  <c r="G168" i="13"/>
  <c r="G158" i="13"/>
  <c r="G531" i="13"/>
  <c r="G451" i="13"/>
  <c r="G371" i="13"/>
  <c r="G291" i="13"/>
  <c r="G337" i="13"/>
  <c r="G257" i="13"/>
  <c r="G548" i="13"/>
  <c r="G468" i="13"/>
  <c r="G388" i="13"/>
  <c r="G308" i="13"/>
  <c r="G273" i="13"/>
  <c r="G332" i="13"/>
  <c r="G252" i="13"/>
  <c r="G630" i="13"/>
  <c r="G637" i="13"/>
  <c r="G691" i="13"/>
  <c r="G688" i="13"/>
  <c r="G666" i="13"/>
  <c r="G641" i="13"/>
  <c r="G616" i="13"/>
  <c r="G628" i="13"/>
  <c r="G698" i="13"/>
  <c r="G642" i="13"/>
  <c r="G648" i="13"/>
  <c r="G77" i="13"/>
  <c r="G140" i="13"/>
  <c r="G160" i="13"/>
  <c r="G147" i="13"/>
  <c r="G179" i="13"/>
  <c r="G186" i="13"/>
  <c r="G177" i="13"/>
  <c r="G65" i="13"/>
  <c r="G64" i="13"/>
  <c r="G103" i="13"/>
  <c r="G104" i="13"/>
  <c r="G134" i="13"/>
  <c r="G359" i="13"/>
  <c r="G614" i="13"/>
  <c r="G621" i="13"/>
  <c r="G669" i="13"/>
  <c r="G623" i="13"/>
  <c r="G660" i="13"/>
  <c r="G677" i="13"/>
  <c r="G635" i="13"/>
  <c r="G610" i="13"/>
  <c r="G680" i="13"/>
  <c r="G655" i="13"/>
  <c r="G667" i="13"/>
  <c r="G611" i="13"/>
  <c r="G617" i="13"/>
  <c r="G43" i="13"/>
  <c r="G121" i="13"/>
  <c r="G185" i="13"/>
  <c r="G56" i="13"/>
  <c r="G169" i="13"/>
  <c r="G87" i="13"/>
  <c r="G183" i="13"/>
  <c r="G118" i="13"/>
  <c r="G694" i="13"/>
  <c r="I687" i="13"/>
  <c r="O699" i="13"/>
  <c r="G624" i="13"/>
  <c r="G636" i="13"/>
  <c r="G690" i="13"/>
  <c r="G176" i="13"/>
  <c r="G159" i="13"/>
  <c r="G622" i="13"/>
  <c r="G668" i="13"/>
  <c r="G700" i="13"/>
  <c r="G607" i="13"/>
  <c r="G644" i="13"/>
  <c r="G650" i="13"/>
  <c r="G139" i="13"/>
  <c r="G71" i="13"/>
  <c r="G86" i="13"/>
  <c r="G656" i="13"/>
  <c r="G643" i="13"/>
  <c r="G654" i="13"/>
  <c r="G696" i="13"/>
  <c r="G693" i="13"/>
  <c r="G646" i="13"/>
  <c r="G695" i="13"/>
  <c r="G612" i="13"/>
  <c r="G682" i="13"/>
  <c r="G657" i="13"/>
  <c r="G632" i="13"/>
  <c r="G671" i="13"/>
  <c r="G150" i="13"/>
  <c r="G129" i="13"/>
  <c r="G76" i="13"/>
  <c r="G83" i="13"/>
  <c r="G148" i="13"/>
  <c r="G123" i="13"/>
  <c r="G97" i="13"/>
  <c r="G33" i="13"/>
  <c r="G96" i="13"/>
  <c r="G32" i="13"/>
  <c r="G191" i="13"/>
  <c r="G63" i="13"/>
  <c r="G95" i="13"/>
  <c r="G70" i="13"/>
  <c r="G519" i="13"/>
  <c r="G560" i="13"/>
  <c r="G480" i="13"/>
  <c r="G400" i="13"/>
  <c r="G320" i="13"/>
  <c r="G576" i="13"/>
  <c r="I625" i="13"/>
  <c r="G686" i="13"/>
  <c r="G645" i="13"/>
  <c r="G638" i="13"/>
  <c r="G681" i="13"/>
  <c r="G670" i="13"/>
  <c r="G619" i="13"/>
  <c r="G689" i="13"/>
  <c r="G664" i="13"/>
  <c r="G639" i="13"/>
  <c r="G676" i="13"/>
  <c r="G651" i="13"/>
  <c r="G626" i="13"/>
  <c r="G629" i="13"/>
  <c r="G678" i="13"/>
  <c r="G640" i="13"/>
  <c r="G683" i="13"/>
  <c r="G132" i="13"/>
  <c r="G107" i="13"/>
  <c r="G167" i="13"/>
  <c r="G55" i="13"/>
  <c r="G190" i="13"/>
  <c r="G54" i="13"/>
  <c r="G391" i="13"/>
  <c r="G567" i="13"/>
  <c r="A241" i="13"/>
  <c r="A301" i="13"/>
  <c r="A561" i="13"/>
  <c r="A361" i="13"/>
  <c r="A341" i="13"/>
  <c r="A401" i="13"/>
  <c r="A521" i="13"/>
  <c r="A461" i="13"/>
  <c r="A281" i="13"/>
  <c r="A481" i="13"/>
  <c r="A321" i="13"/>
  <c r="A581" i="13"/>
  <c r="A501" i="13"/>
  <c r="A381" i="13"/>
  <c r="A601" i="13"/>
  <c r="A541" i="13"/>
  <c r="A261" i="13"/>
  <c r="L24" i="8"/>
  <c r="M24" i="8" s="1"/>
  <c r="J4" i="8"/>
  <c r="J7" i="8"/>
  <c r="J15" i="8"/>
  <c r="J23" i="8"/>
  <c r="J17" i="8"/>
  <c r="J10" i="8"/>
  <c r="J22" i="8"/>
  <c r="J8" i="8"/>
  <c r="J16" i="8"/>
  <c r="J9" i="8"/>
  <c r="J18" i="8"/>
  <c r="J6" i="8"/>
  <c r="J11" i="8"/>
  <c r="J19" i="8"/>
  <c r="J12" i="8"/>
  <c r="J20" i="8"/>
  <c r="J5" i="8"/>
  <c r="J13" i="8"/>
  <c r="J21" i="8"/>
  <c r="J14" i="8"/>
  <c r="K26" i="8"/>
  <c r="K6" i="8" s="1"/>
  <c r="K649" i="13" l="1"/>
  <c r="M663" i="13"/>
  <c r="I663" i="13"/>
  <c r="I653" i="13"/>
  <c r="K663" i="13"/>
  <c r="I631" i="13"/>
  <c r="O653" i="13"/>
  <c r="O687" i="13"/>
  <c r="M653" i="13"/>
  <c r="M687" i="13"/>
  <c r="M701" i="13"/>
  <c r="I701" i="13"/>
  <c r="O701" i="13"/>
  <c r="O625" i="13"/>
  <c r="K631" i="13"/>
  <c r="M631" i="13"/>
  <c r="I692" i="13"/>
  <c r="K699" i="13"/>
  <c r="O649" i="13"/>
  <c r="I649" i="13"/>
  <c r="K618" i="13"/>
  <c r="M625" i="13"/>
  <c r="K674" i="13"/>
  <c r="O674" i="13"/>
  <c r="M674" i="13"/>
  <c r="I699" i="13"/>
  <c r="K692" i="13"/>
  <c r="O692" i="13"/>
  <c r="I618" i="13"/>
  <c r="O618" i="13"/>
  <c r="I648" i="13"/>
  <c r="K648" i="13"/>
  <c r="M648" i="13"/>
  <c r="O648" i="13"/>
  <c r="K633" i="13"/>
  <c r="O633" i="13"/>
  <c r="M633" i="13"/>
  <c r="I633" i="13"/>
  <c r="K644" i="13"/>
  <c r="I644" i="13"/>
  <c r="O644" i="13"/>
  <c r="M644" i="13"/>
  <c r="M660" i="13"/>
  <c r="K660" i="13"/>
  <c r="O660" i="13"/>
  <c r="I660" i="13"/>
  <c r="M652" i="13"/>
  <c r="I652" i="13"/>
  <c r="K652" i="13"/>
  <c r="O652" i="13"/>
  <c r="I629" i="13"/>
  <c r="M629" i="13"/>
  <c r="O629" i="13"/>
  <c r="K629" i="13"/>
  <c r="I670" i="13"/>
  <c r="K670" i="13"/>
  <c r="M670" i="13"/>
  <c r="O670" i="13"/>
  <c r="I682" i="13"/>
  <c r="M682" i="13"/>
  <c r="K682" i="13"/>
  <c r="O682" i="13"/>
  <c r="M668" i="13"/>
  <c r="I668" i="13"/>
  <c r="O668" i="13"/>
  <c r="K668" i="13"/>
  <c r="O655" i="13"/>
  <c r="I655" i="13"/>
  <c r="K655" i="13"/>
  <c r="M655" i="13"/>
  <c r="I621" i="13"/>
  <c r="K621" i="13"/>
  <c r="M621" i="13"/>
  <c r="O621" i="13"/>
  <c r="O616" i="13"/>
  <c r="M616" i="13"/>
  <c r="K616" i="13"/>
  <c r="I616" i="13"/>
  <c r="K697" i="13"/>
  <c r="I697" i="13"/>
  <c r="O697" i="13"/>
  <c r="M697" i="13"/>
  <c r="O661" i="13"/>
  <c r="K661" i="13"/>
  <c r="M661" i="13"/>
  <c r="I661" i="13"/>
  <c r="I686" i="13"/>
  <c r="K686" i="13"/>
  <c r="M686" i="13"/>
  <c r="O686" i="13"/>
  <c r="I650" i="13"/>
  <c r="O650" i="13"/>
  <c r="M650" i="13"/>
  <c r="K650" i="13"/>
  <c r="K664" i="13"/>
  <c r="O664" i="13"/>
  <c r="I664" i="13"/>
  <c r="M664" i="13"/>
  <c r="O671" i="13"/>
  <c r="I671" i="13"/>
  <c r="K671" i="13"/>
  <c r="M671" i="13"/>
  <c r="O637" i="13"/>
  <c r="I637" i="13"/>
  <c r="K637" i="13"/>
  <c r="M637" i="13"/>
  <c r="K626" i="13"/>
  <c r="I626" i="13"/>
  <c r="M626" i="13"/>
  <c r="O626" i="13"/>
  <c r="K681" i="13"/>
  <c r="O681" i="13"/>
  <c r="I681" i="13"/>
  <c r="M681" i="13"/>
  <c r="O612" i="13"/>
  <c r="I612" i="13"/>
  <c r="K612" i="13"/>
  <c r="M612" i="13"/>
  <c r="I622" i="13"/>
  <c r="M622" i="13"/>
  <c r="O622" i="13"/>
  <c r="K622" i="13"/>
  <c r="O680" i="13"/>
  <c r="I680" i="13"/>
  <c r="K680" i="13"/>
  <c r="M680" i="13"/>
  <c r="K614" i="13"/>
  <c r="M614" i="13"/>
  <c r="O614" i="13"/>
  <c r="I614" i="13"/>
  <c r="I641" i="13"/>
  <c r="K641" i="13"/>
  <c r="O641" i="13"/>
  <c r="M641" i="13"/>
  <c r="O673" i="13"/>
  <c r="I673" i="13"/>
  <c r="K673" i="13"/>
  <c r="M673" i="13"/>
  <c r="K627" i="13"/>
  <c r="I627" i="13"/>
  <c r="O627" i="13"/>
  <c r="M627" i="13"/>
  <c r="K665" i="13"/>
  <c r="I665" i="13"/>
  <c r="M665" i="13"/>
  <c r="O665" i="13"/>
  <c r="M639" i="13"/>
  <c r="O639" i="13"/>
  <c r="K639" i="13"/>
  <c r="I639" i="13"/>
  <c r="K693" i="13"/>
  <c r="I693" i="13"/>
  <c r="M693" i="13"/>
  <c r="O693" i="13"/>
  <c r="I683" i="13"/>
  <c r="M683" i="13"/>
  <c r="K683" i="13"/>
  <c r="O683" i="13"/>
  <c r="M696" i="13"/>
  <c r="O696" i="13"/>
  <c r="I696" i="13"/>
  <c r="K696" i="13"/>
  <c r="O651" i="13"/>
  <c r="K651" i="13"/>
  <c r="M651" i="13"/>
  <c r="I651" i="13"/>
  <c r="K638" i="13"/>
  <c r="I638" i="13"/>
  <c r="M638" i="13"/>
  <c r="O638" i="13"/>
  <c r="O695" i="13"/>
  <c r="K695" i="13"/>
  <c r="I695" i="13"/>
  <c r="M695" i="13"/>
  <c r="I610" i="13"/>
  <c r="K610" i="13"/>
  <c r="M610" i="13"/>
  <c r="O610" i="13"/>
  <c r="I666" i="13"/>
  <c r="M666" i="13"/>
  <c r="O666" i="13"/>
  <c r="K666" i="13"/>
  <c r="I685" i="13"/>
  <c r="O685" i="13"/>
  <c r="K685" i="13"/>
  <c r="M685" i="13"/>
  <c r="O675" i="13"/>
  <c r="I675" i="13"/>
  <c r="K675" i="13"/>
  <c r="M675" i="13"/>
  <c r="M620" i="13"/>
  <c r="I620" i="13"/>
  <c r="K620" i="13"/>
  <c r="O620" i="13"/>
  <c r="I690" i="13"/>
  <c r="K690" i="13"/>
  <c r="M690" i="13"/>
  <c r="O690" i="13"/>
  <c r="I677" i="13"/>
  <c r="K677" i="13"/>
  <c r="O677" i="13"/>
  <c r="M677" i="13"/>
  <c r="M659" i="13"/>
  <c r="I659" i="13"/>
  <c r="K659" i="13"/>
  <c r="O659" i="13"/>
  <c r="O684" i="13"/>
  <c r="K684" i="13"/>
  <c r="I684" i="13"/>
  <c r="M684" i="13"/>
  <c r="M676" i="13"/>
  <c r="K676" i="13"/>
  <c r="I676" i="13"/>
  <c r="O676" i="13"/>
  <c r="M645" i="13"/>
  <c r="O645" i="13"/>
  <c r="I645" i="13"/>
  <c r="K645" i="13"/>
  <c r="I646" i="13"/>
  <c r="O646" i="13"/>
  <c r="K646" i="13"/>
  <c r="M646" i="13"/>
  <c r="O635" i="13"/>
  <c r="I635" i="13"/>
  <c r="K635" i="13"/>
  <c r="M635" i="13"/>
  <c r="M688" i="13"/>
  <c r="I688" i="13"/>
  <c r="O688" i="13"/>
  <c r="K688" i="13"/>
  <c r="I634" i="13"/>
  <c r="O634" i="13"/>
  <c r="M634" i="13"/>
  <c r="K634" i="13"/>
  <c r="I606" i="13"/>
  <c r="M606" i="13"/>
  <c r="K606" i="13"/>
  <c r="O606" i="13"/>
  <c r="K608" i="13"/>
  <c r="I608" i="13"/>
  <c r="O608" i="13"/>
  <c r="M608" i="13"/>
  <c r="M656" i="13"/>
  <c r="K656" i="13"/>
  <c r="O656" i="13"/>
  <c r="I656" i="13"/>
  <c r="M691" i="13"/>
  <c r="I691" i="13"/>
  <c r="K691" i="13"/>
  <c r="O691" i="13"/>
  <c r="O636" i="13"/>
  <c r="I636" i="13"/>
  <c r="K636" i="13"/>
  <c r="M636" i="13"/>
  <c r="I617" i="13"/>
  <c r="K617" i="13"/>
  <c r="M617" i="13"/>
  <c r="O617" i="13"/>
  <c r="K642" i="13"/>
  <c r="I642" i="13"/>
  <c r="O642" i="13"/>
  <c r="M642" i="13"/>
  <c r="O658" i="13"/>
  <c r="I658" i="13"/>
  <c r="M658" i="13"/>
  <c r="K658" i="13"/>
  <c r="M640" i="13"/>
  <c r="O640" i="13"/>
  <c r="K640" i="13"/>
  <c r="I640" i="13"/>
  <c r="I689" i="13"/>
  <c r="K689" i="13"/>
  <c r="O689" i="13"/>
  <c r="M689" i="13"/>
  <c r="O632" i="13"/>
  <c r="I632" i="13"/>
  <c r="K632" i="13"/>
  <c r="M632" i="13"/>
  <c r="I654" i="13"/>
  <c r="K654" i="13"/>
  <c r="M654" i="13"/>
  <c r="O654" i="13"/>
  <c r="O607" i="13"/>
  <c r="M607" i="13"/>
  <c r="I607" i="13"/>
  <c r="K607" i="13"/>
  <c r="O624" i="13"/>
  <c r="K624" i="13"/>
  <c r="I624" i="13"/>
  <c r="M624" i="13"/>
  <c r="I611" i="13"/>
  <c r="K611" i="13"/>
  <c r="M611" i="13"/>
  <c r="O611" i="13"/>
  <c r="O623" i="13"/>
  <c r="I623" i="13"/>
  <c r="K623" i="13"/>
  <c r="M623" i="13"/>
  <c r="O698" i="13"/>
  <c r="M698" i="13"/>
  <c r="I698" i="13"/>
  <c r="K698" i="13"/>
  <c r="I630" i="13"/>
  <c r="O630" i="13"/>
  <c r="K630" i="13"/>
  <c r="M630" i="13"/>
  <c r="I647" i="13"/>
  <c r="M647" i="13"/>
  <c r="O647" i="13"/>
  <c r="K647" i="13"/>
  <c r="O615" i="13"/>
  <c r="I615" i="13"/>
  <c r="M615" i="13"/>
  <c r="K615" i="13"/>
  <c r="O679" i="13"/>
  <c r="I679" i="13"/>
  <c r="K679" i="13"/>
  <c r="M679" i="13"/>
  <c r="M662" i="13"/>
  <c r="O662" i="13"/>
  <c r="K662" i="13"/>
  <c r="I662" i="13"/>
  <c r="K678" i="13"/>
  <c r="M678" i="13"/>
  <c r="I678" i="13"/>
  <c r="O678" i="13"/>
  <c r="O619" i="13"/>
  <c r="K619" i="13"/>
  <c r="I619" i="13"/>
  <c r="M619" i="13"/>
  <c r="K657" i="13"/>
  <c r="M657" i="13"/>
  <c r="O657" i="13"/>
  <c r="I657" i="13"/>
  <c r="O643" i="13"/>
  <c r="M643" i="13"/>
  <c r="I643" i="13"/>
  <c r="K643" i="13"/>
  <c r="M700" i="13"/>
  <c r="O700" i="13"/>
  <c r="K700" i="13"/>
  <c r="I700" i="13"/>
  <c r="O694" i="13"/>
  <c r="K694" i="13"/>
  <c r="M694" i="13"/>
  <c r="I694" i="13"/>
  <c r="O667" i="13"/>
  <c r="K667" i="13"/>
  <c r="M667" i="13"/>
  <c r="I667" i="13"/>
  <c r="M669" i="13"/>
  <c r="O669" i="13"/>
  <c r="I669" i="13"/>
  <c r="K669" i="13"/>
  <c r="M628" i="13"/>
  <c r="O628" i="13"/>
  <c r="K628" i="13"/>
  <c r="I628" i="13"/>
  <c r="K672" i="13"/>
  <c r="O672" i="13"/>
  <c r="M672" i="13"/>
  <c r="I672" i="13"/>
  <c r="I609" i="13"/>
  <c r="M609" i="13"/>
  <c r="O609" i="13"/>
  <c r="K609" i="13"/>
  <c r="O613" i="13"/>
  <c r="I613" i="13"/>
  <c r="K613" i="13"/>
  <c r="M613" i="13"/>
  <c r="J52" i="3"/>
  <c r="J50" i="3"/>
  <c r="J51" i="3"/>
  <c r="J54" i="3"/>
  <c r="J53" i="3"/>
  <c r="J49" i="3"/>
  <c r="K4" i="8"/>
  <c r="J55" i="3"/>
  <c r="K16" i="8"/>
  <c r="K18" i="8"/>
  <c r="K11" i="8"/>
  <c r="K13" i="8"/>
  <c r="K23" i="8"/>
  <c r="K9" i="8"/>
  <c r="K54" i="3" s="1"/>
  <c r="K15" i="8"/>
  <c r="K21" i="8"/>
  <c r="K7" i="8"/>
  <c r="K52" i="3" s="1"/>
  <c r="K12" i="8"/>
  <c r="K5" i="8"/>
  <c r="K50" i="3" s="1"/>
  <c r="K19" i="8"/>
  <c r="K22" i="8"/>
  <c r="K10" i="8"/>
  <c r="K8" i="8"/>
  <c r="K53" i="3" s="1"/>
  <c r="K14" i="8"/>
  <c r="K17" i="8"/>
  <c r="K20" i="8"/>
  <c r="K51" i="3"/>
  <c r="N24" i="8"/>
  <c r="P663" i="13" l="1"/>
  <c r="P653" i="13"/>
  <c r="P687" i="13"/>
  <c r="P701" i="13"/>
  <c r="P625" i="13"/>
  <c r="P631" i="13"/>
  <c r="P699" i="13"/>
  <c r="P649" i="13"/>
  <c r="P620" i="13"/>
  <c r="P610" i="13"/>
  <c r="P638" i="13"/>
  <c r="P693" i="13"/>
  <c r="P665" i="13"/>
  <c r="P673" i="13"/>
  <c r="P674" i="13"/>
  <c r="P662" i="13"/>
  <c r="P617" i="13"/>
  <c r="P661" i="13"/>
  <c r="P616" i="13"/>
  <c r="P633" i="13"/>
  <c r="P669" i="13"/>
  <c r="P692" i="13"/>
  <c r="P683" i="13"/>
  <c r="P680" i="13"/>
  <c r="P659" i="13"/>
  <c r="P618" i="13"/>
  <c r="P657" i="13"/>
  <c r="P681" i="13"/>
  <c r="P700" i="13"/>
  <c r="P664" i="13"/>
  <c r="P656" i="13"/>
  <c r="P688" i="13"/>
  <c r="P606" i="13"/>
  <c r="P678" i="13"/>
  <c r="P685" i="13"/>
  <c r="P613" i="13"/>
  <c r="P643" i="13"/>
  <c r="P619" i="13"/>
  <c r="P624" i="13"/>
  <c r="P646" i="13"/>
  <c r="P690" i="13"/>
  <c r="P666" i="13"/>
  <c r="P641" i="13"/>
  <c r="P612" i="13"/>
  <c r="P626" i="13"/>
  <c r="P660" i="13"/>
  <c r="P615" i="13"/>
  <c r="P623" i="13"/>
  <c r="P634" i="13"/>
  <c r="P614" i="13"/>
  <c r="P671" i="13"/>
  <c r="P650" i="13"/>
  <c r="P655" i="13"/>
  <c r="P607" i="13"/>
  <c r="P628" i="13"/>
  <c r="P667" i="13"/>
  <c r="P630" i="13"/>
  <c r="P654" i="13"/>
  <c r="P689" i="13"/>
  <c r="P658" i="13"/>
  <c r="P691" i="13"/>
  <c r="P608" i="13"/>
  <c r="P635" i="13"/>
  <c r="P645" i="13"/>
  <c r="P684" i="13"/>
  <c r="P677" i="13"/>
  <c r="P696" i="13"/>
  <c r="P682" i="13"/>
  <c r="P629" i="13"/>
  <c r="P698" i="13"/>
  <c r="P609" i="13"/>
  <c r="P679" i="13"/>
  <c r="P632" i="13"/>
  <c r="P640" i="13"/>
  <c r="P675" i="13"/>
  <c r="P651" i="13"/>
  <c r="P639" i="13"/>
  <c r="P622" i="13"/>
  <c r="P697" i="13"/>
  <c r="P668" i="13"/>
  <c r="P652" i="13"/>
  <c r="P644" i="13"/>
  <c r="P637" i="13"/>
  <c r="P672" i="13"/>
  <c r="P694" i="13"/>
  <c r="P647" i="13"/>
  <c r="P611" i="13"/>
  <c r="P642" i="13"/>
  <c r="P636" i="13"/>
  <c r="P676" i="13"/>
  <c r="P695" i="13"/>
  <c r="P627" i="13"/>
  <c r="P686" i="13"/>
  <c r="P621" i="13"/>
  <c r="P670" i="13"/>
  <c r="P648" i="13"/>
  <c r="K49" i="3"/>
  <c r="O24" i="8"/>
  <c r="P24" i="8" s="1"/>
  <c r="C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P12" i="24"/>
  <c r="G12" i="24"/>
  <c r="G11" i="24"/>
  <c r="G10" i="24"/>
  <c r="R9" i="24"/>
  <c r="P13" i="24" s="1"/>
  <c r="G9" i="24"/>
  <c r="R8" i="24"/>
  <c r="G8" i="24"/>
  <c r="G7" i="24"/>
  <c r="Q6" i="24"/>
  <c r="Q7" i="24" s="1"/>
  <c r="R7" i="24" s="1"/>
  <c r="G6" i="24"/>
  <c r="P5" i="24"/>
  <c r="G5" i="24"/>
  <c r="G4" i="24"/>
  <c r="A4" i="24"/>
  <c r="G3" i="24"/>
  <c r="E1" i="24"/>
  <c r="A5" i="24" l="1"/>
  <c r="A603" i="13"/>
  <c r="Q24" i="8"/>
  <c r="R24" i="8" s="1"/>
  <c r="S24" i="8" s="1"/>
  <c r="T24" i="8" s="1"/>
  <c r="A6" i="24" l="1"/>
  <c r="A604" i="13"/>
  <c r="U24" i="8"/>
  <c r="T26" i="8"/>
  <c r="BF32" i="3"/>
  <c r="BF41" i="3"/>
  <c r="A7" i="24" l="1"/>
  <c r="A605" i="13"/>
  <c r="V24" i="8"/>
  <c r="BL24" i="8"/>
  <c r="I44" i="3"/>
  <c r="I45" i="3"/>
  <c r="I46" i="3"/>
  <c r="I47" i="3"/>
  <c r="I43" i="3"/>
  <c r="I35" i="3"/>
  <c r="I36" i="3"/>
  <c r="I37" i="3"/>
  <c r="I38" i="3"/>
  <c r="BF40" i="3" s="1"/>
  <c r="I5" i="3"/>
  <c r="I6" i="3"/>
  <c r="I7" i="3"/>
  <c r="I8" i="3"/>
  <c r="I9" i="3"/>
  <c r="I11" i="3"/>
  <c r="I12" i="3"/>
  <c r="I13" i="3"/>
  <c r="I14" i="3"/>
  <c r="I15" i="3"/>
  <c r="I16" i="3"/>
  <c r="I17" i="3"/>
  <c r="I18" i="3"/>
  <c r="I19" i="3"/>
  <c r="I20" i="3"/>
  <c r="I21" i="3"/>
  <c r="I22" i="3"/>
  <c r="I23" i="3"/>
  <c r="I24" i="3"/>
  <c r="I25" i="3"/>
  <c r="I26" i="3"/>
  <c r="BG4" i="8"/>
  <c r="BF4" i="8" s="1"/>
  <c r="A8" i="24" l="1"/>
  <c r="A606" i="13"/>
  <c r="W24" i="8"/>
  <c r="X24" i="8" s="1"/>
  <c r="Y24" i="8" s="1"/>
  <c r="Z24" i="8" s="1"/>
  <c r="AA24" i="8" s="1"/>
  <c r="AB24" i="8" s="1"/>
  <c r="AC24" i="8" s="1"/>
  <c r="AD24" i="8" s="1"/>
  <c r="AE24" i="8" s="1"/>
  <c r="AF24" i="8" s="1"/>
  <c r="AG24" i="8" s="1"/>
  <c r="AG26" i="8" s="1"/>
  <c r="BZ43" i="3"/>
  <c r="BA5" i="12"/>
  <c r="BY49" i="3"/>
  <c r="BX49" i="3"/>
  <c r="BW49" i="3"/>
  <c r="BV49" i="3"/>
  <c r="BU49" i="3"/>
  <c r="BT49" i="3"/>
  <c r="BS49" i="3"/>
  <c r="BR49" i="3"/>
  <c r="BQ49" i="3"/>
  <c r="BP49" i="3"/>
  <c r="BO49" i="3"/>
  <c r="BN49" i="3"/>
  <c r="BM49" i="3"/>
  <c r="BL49" i="3"/>
  <c r="BK49" i="3"/>
  <c r="BJ49" i="3"/>
  <c r="BI49" i="3"/>
  <c r="BH49" i="3"/>
  <c r="BG49" i="3"/>
  <c r="BF49" i="3"/>
  <c r="BG40" i="3"/>
  <c r="BH40" i="3"/>
  <c r="BI40" i="3"/>
  <c r="BJ40" i="3"/>
  <c r="BK40" i="3"/>
  <c r="BL40" i="3"/>
  <c r="BM40" i="3"/>
  <c r="BN40" i="3"/>
  <c r="BO40" i="3"/>
  <c r="BP40" i="3"/>
  <c r="BQ40" i="3"/>
  <c r="BR40" i="3"/>
  <c r="BS40" i="3"/>
  <c r="BT40" i="3"/>
  <c r="BU40" i="3"/>
  <c r="BV40" i="3"/>
  <c r="BW40" i="3"/>
  <c r="BX40" i="3"/>
  <c r="BY40" i="3"/>
  <c r="BY31" i="3"/>
  <c r="BG31" i="3"/>
  <c r="BH31" i="3"/>
  <c r="BI31" i="3"/>
  <c r="BJ31" i="3"/>
  <c r="BK31" i="3"/>
  <c r="BL31" i="3"/>
  <c r="BM31" i="3"/>
  <c r="BN31" i="3"/>
  <c r="BO31" i="3"/>
  <c r="BP31" i="3"/>
  <c r="BQ31" i="3"/>
  <c r="BR31" i="3"/>
  <c r="BS31" i="3"/>
  <c r="BT31" i="3"/>
  <c r="BU31" i="3"/>
  <c r="BV31" i="3"/>
  <c r="BW31" i="3"/>
  <c r="BX31" i="3"/>
  <c r="D20" i="14" l="1"/>
  <c r="D12" i="14"/>
  <c r="A9" i="24"/>
  <c r="A607" i="13"/>
  <c r="AH24" i="8"/>
  <c r="BM24" i="8"/>
  <c r="D21" i="14"/>
  <c r="D13" i="14"/>
  <c r="D18" i="14"/>
  <c r="D10" i="14"/>
  <c r="D24" i="14"/>
  <c r="D23" i="14"/>
  <c r="D15" i="14"/>
  <c r="D22" i="14"/>
  <c r="D14" i="14"/>
  <c r="D11" i="14"/>
  <c r="D19" i="14"/>
  <c r="D9" i="14"/>
  <c r="D17" i="14"/>
  <c r="D16" i="14"/>
  <c r="D25" i="14"/>
  <c r="D8" i="14"/>
  <c r="D7" i="14"/>
  <c r="L11" i="2"/>
  <c r="L12" i="2"/>
  <c r="C3" i="11"/>
  <c r="A10" i="24" l="1"/>
  <c r="A608" i="13"/>
  <c r="AI24" i="8"/>
  <c r="AJ24" i="8" s="1"/>
  <c r="AK24" i="8" s="1"/>
  <c r="AL24" i="8" s="1"/>
  <c r="AM24" i="8" s="1"/>
  <c r="AN24" i="8" s="1"/>
  <c r="AO24" i="8" s="1"/>
  <c r="AP24" i="8" s="1"/>
  <c r="AQ24" i="8" s="1"/>
  <c r="AR24" i="8" s="1"/>
  <c r="AS24" i="8" s="1"/>
  <c r="AT24" i="8" s="1"/>
  <c r="AH3" i="15"/>
  <c r="AG3" i="15"/>
  <c r="AD3" i="15"/>
  <c r="X3" i="15"/>
  <c r="N3" i="15"/>
  <c r="A11" i="24" l="1"/>
  <c r="A609" i="13"/>
  <c r="BN24" i="8"/>
  <c r="AU24" i="8"/>
  <c r="AV24" i="8" s="1"/>
  <c r="AW24" i="8" s="1"/>
  <c r="AX24" i="8" s="1"/>
  <c r="AY24" i="8" s="1"/>
  <c r="AZ24" i="8" s="1"/>
  <c r="BA24" i="8" s="1"/>
  <c r="BB24" i="8" s="1"/>
  <c r="BC24" i="8" s="1"/>
  <c r="BD24" i="8" s="1"/>
  <c r="BE24" i="8" s="1"/>
  <c r="A12" i="24" l="1"/>
  <c r="A610" i="13"/>
  <c r="BO24" i="8"/>
  <c r="A13" i="24" l="1"/>
  <c r="A611" i="13"/>
  <c r="I4" i="3"/>
  <c r="BG5" i="8"/>
  <c r="BF5" i="8" s="1"/>
  <c r="BG6" i="8"/>
  <c r="BF6" i="8" s="1"/>
  <c r="BG7" i="8"/>
  <c r="BG8" i="8"/>
  <c r="BG9" i="8"/>
  <c r="BG10" i="8"/>
  <c r="BG11" i="8"/>
  <c r="BG12" i="8"/>
  <c r="BG13" i="8"/>
  <c r="BG14" i="8"/>
  <c r="BG15" i="8"/>
  <c r="BG16" i="8"/>
  <c r="BG17" i="8"/>
  <c r="BG18" i="8"/>
  <c r="BG19" i="8"/>
  <c r="BG20" i="8"/>
  <c r="BG21" i="8"/>
  <c r="BG22" i="8"/>
  <c r="BG23" i="8"/>
  <c r="M11" i="22"/>
  <c r="A14" i="24" l="1"/>
  <c r="A612" i="13"/>
  <c r="BZ4" i="3"/>
  <c r="BF31" i="3"/>
  <c r="D6" i="14" s="1"/>
  <c r="B71" i="2"/>
  <c r="B70" i="2"/>
  <c r="D70" i="2" s="1"/>
  <c r="V2" i="24" s="1"/>
  <c r="A15" i="24" l="1"/>
  <c r="A613" i="13"/>
  <c r="V32" i="24"/>
  <c r="V34" i="24" s="1"/>
  <c r="U21" i="13"/>
  <c r="K10" i="20"/>
  <c r="BD10" i="20" s="1"/>
  <c r="K11" i="20"/>
  <c r="BD11" i="20" s="1"/>
  <c r="K12" i="20"/>
  <c r="BD12" i="20" s="1"/>
  <c r="K13" i="20"/>
  <c r="BD13" i="20" s="1"/>
  <c r="K14" i="20"/>
  <c r="BD14" i="20" s="1"/>
  <c r="K15" i="20"/>
  <c r="BD15" i="20" s="1"/>
  <c r="K16" i="20"/>
  <c r="BD16" i="20" s="1"/>
  <c r="K17" i="20"/>
  <c r="BD17" i="20" s="1"/>
  <c r="K18" i="20"/>
  <c r="BD18" i="20" s="1"/>
  <c r="K19" i="20"/>
  <c r="BD19" i="20" s="1"/>
  <c r="K20" i="20"/>
  <c r="BD20" i="20" s="1"/>
  <c r="K21" i="20"/>
  <c r="BD21" i="20" s="1"/>
  <c r="K22" i="20"/>
  <c r="BD22" i="20" s="1"/>
  <c r="A16" i="24" l="1"/>
  <c r="A614" i="13"/>
  <c r="V40" i="24"/>
  <c r="V37" i="24"/>
  <c r="V36" i="24"/>
  <c r="V38" i="24"/>
  <c r="V35" i="24"/>
  <c r="U44" i="13"/>
  <c r="U24" i="13"/>
  <c r="U28" i="13"/>
  <c r="U23" i="13"/>
  <c r="U27" i="13"/>
  <c r="U26" i="13"/>
  <c r="U30" i="13"/>
  <c r="AF4" i="20"/>
  <c r="K4" i="20" s="1"/>
  <c r="BD4" i="20" s="1"/>
  <c r="AF5" i="20"/>
  <c r="K5" i="20" s="1"/>
  <c r="BD5" i="20" s="1"/>
  <c r="AF6" i="20"/>
  <c r="K6" i="20" s="1"/>
  <c r="BD6" i="20" s="1"/>
  <c r="AF7" i="20"/>
  <c r="K7" i="20" s="1"/>
  <c r="BD7" i="20" s="1"/>
  <c r="AF8" i="20"/>
  <c r="K8" i="20" s="1"/>
  <c r="BD8" i="20" s="1"/>
  <c r="AF9" i="20"/>
  <c r="K9" i="20" s="1"/>
  <c r="BD9" i="20" s="1"/>
  <c r="AF10" i="20"/>
  <c r="AF11" i="20"/>
  <c r="AF12" i="20"/>
  <c r="AF13" i="20"/>
  <c r="AF14" i="20"/>
  <c r="AF15" i="20"/>
  <c r="AF16" i="20"/>
  <c r="AF17" i="20"/>
  <c r="AF18" i="20"/>
  <c r="AF19" i="20"/>
  <c r="AF20" i="20"/>
  <c r="AF21" i="20"/>
  <c r="AF22" i="20"/>
  <c r="K3" i="20"/>
  <c r="BD3" i="20" s="1"/>
  <c r="A17" i="24" l="1"/>
  <c r="A615" i="13"/>
  <c r="BY2" i="3"/>
  <c r="BX2" i="3"/>
  <c r="AD2" i="20" s="1"/>
  <c r="BW2" i="3"/>
  <c r="AC2" i="20" s="1"/>
  <c r="BV2" i="3"/>
  <c r="AB2" i="20" s="1"/>
  <c r="BU2" i="3"/>
  <c r="AA2" i="20" s="1"/>
  <c r="BT2" i="3"/>
  <c r="Z2" i="20" s="1"/>
  <c r="BS2" i="3"/>
  <c r="Y2" i="20" s="1"/>
  <c r="BR2" i="3"/>
  <c r="X2" i="20" s="1"/>
  <c r="BQ2" i="3"/>
  <c r="W2" i="20" s="1"/>
  <c r="BP2" i="3"/>
  <c r="V2" i="20" s="1"/>
  <c r="BO2" i="3"/>
  <c r="U2" i="20" s="1"/>
  <c r="BN2" i="3"/>
  <c r="T2" i="20" s="1"/>
  <c r="BM2" i="3"/>
  <c r="S2" i="20" s="1"/>
  <c r="BL2" i="3"/>
  <c r="R2" i="20" s="1"/>
  <c r="BK2" i="3"/>
  <c r="Q2" i="20" s="1"/>
  <c r="BJ2" i="3"/>
  <c r="P2" i="20" s="1"/>
  <c r="BI2" i="3"/>
  <c r="O2" i="20" s="1"/>
  <c r="BH2" i="3"/>
  <c r="N2" i="20" s="1"/>
  <c r="BG2" i="3"/>
  <c r="M2" i="20" s="1"/>
  <c r="BF2" i="3"/>
  <c r="L2" i="20" s="1"/>
  <c r="L8" i="2"/>
  <c r="M13" i="22"/>
  <c r="L11" i="22"/>
  <c r="L14" i="22" s="1"/>
  <c r="A18" i="24" l="1"/>
  <c r="A616" i="13"/>
  <c r="BQ33" i="3"/>
  <c r="CT33" i="3" s="1"/>
  <c r="CT42" i="3" s="1"/>
  <c r="BM33" i="3"/>
  <c r="CP33" i="3" s="1"/>
  <c r="CP42" i="3" s="1"/>
  <c r="BI33" i="3"/>
  <c r="CL33" i="3" s="1"/>
  <c r="CL42" i="3" s="1"/>
  <c r="BV42" i="3"/>
  <c r="BV48" i="3" s="1"/>
  <c r="BR42" i="3"/>
  <c r="BR48" i="3" s="1"/>
  <c r="BJ42" i="3"/>
  <c r="BJ48" i="3" s="1"/>
  <c r="BU33" i="3"/>
  <c r="CX33" i="3" s="1"/>
  <c r="CX42" i="3" s="1"/>
  <c r="BS33" i="3"/>
  <c r="CV33" i="3" s="1"/>
  <c r="CV42" i="3" s="1"/>
  <c r="BN42" i="3"/>
  <c r="BN48" i="3" s="1"/>
  <c r="BT33" i="3"/>
  <c r="CW33" i="3" s="1"/>
  <c r="CW42" i="3" s="1"/>
  <c r="BL33" i="3"/>
  <c r="CO33" i="3" s="1"/>
  <c r="CO42" i="3" s="1"/>
  <c r="BU42" i="3"/>
  <c r="BU48" i="3" s="1"/>
  <c r="BM42" i="3"/>
  <c r="BM48" i="3" s="1"/>
  <c r="BK33" i="3"/>
  <c r="CN33" i="3" s="1"/>
  <c r="CN42" i="3" s="1"/>
  <c r="BT42" i="3"/>
  <c r="BT48" i="3" s="1"/>
  <c r="BL42" i="3"/>
  <c r="BL48" i="3" s="1"/>
  <c r="BR33" i="3"/>
  <c r="CU33" i="3" s="1"/>
  <c r="CU42" i="3" s="1"/>
  <c r="BJ33" i="3"/>
  <c r="CM33" i="3" s="1"/>
  <c r="CM42" i="3" s="1"/>
  <c r="BS42" i="3"/>
  <c r="BS48" i="3" s="1"/>
  <c r="BK42" i="3"/>
  <c r="BK48" i="3" s="1"/>
  <c r="BX33" i="3"/>
  <c r="DA33" i="3" s="1"/>
  <c r="DA42" i="3" s="1"/>
  <c r="BP33" i="3"/>
  <c r="CS33" i="3" s="1"/>
  <c r="CS42" i="3" s="1"/>
  <c r="BH33" i="3"/>
  <c r="CK33" i="3" s="1"/>
  <c r="CK42" i="3" s="1"/>
  <c r="BQ42" i="3"/>
  <c r="BQ48" i="3" s="1"/>
  <c r="BI42" i="3"/>
  <c r="BI48" i="3" s="1"/>
  <c r="BW33" i="3"/>
  <c r="CZ33" i="3" s="1"/>
  <c r="CZ42" i="3" s="1"/>
  <c r="BO33" i="3"/>
  <c r="CR33" i="3" s="1"/>
  <c r="CR42" i="3" s="1"/>
  <c r="BX42" i="3"/>
  <c r="BX48" i="3" s="1"/>
  <c r="BP42" i="3"/>
  <c r="BP48" i="3" s="1"/>
  <c r="BH42" i="3"/>
  <c r="BV33" i="3"/>
  <c r="CY33" i="3" s="1"/>
  <c r="CY42" i="3" s="1"/>
  <c r="BN33" i="3"/>
  <c r="CQ33" i="3" s="1"/>
  <c r="CQ42" i="3" s="1"/>
  <c r="BW42" i="3"/>
  <c r="BW48" i="3" s="1"/>
  <c r="BO42" i="3"/>
  <c r="BO48" i="3" s="1"/>
  <c r="BY33" i="3"/>
  <c r="DB33" i="3" s="1"/>
  <c r="AE2" i="20"/>
  <c r="BG33" i="3"/>
  <c r="CJ33" i="3" s="1"/>
  <c r="CJ42" i="3" s="1"/>
  <c r="BG42" i="3"/>
  <c r="BG66" i="3" s="1"/>
  <c r="BF33" i="3"/>
  <c r="CI33" i="3" s="1"/>
  <c r="CI42" i="3" s="1"/>
  <c r="BF42" i="3"/>
  <c r="BF66" i="3" s="1"/>
  <c r="BY42" i="3"/>
  <c r="BY48" i="3" s="1"/>
  <c r="M12" i="22"/>
  <c r="M15" i="22"/>
  <c r="M14" i="22"/>
  <c r="L13" i="22"/>
  <c r="L12" i="22"/>
  <c r="L15" i="22"/>
  <c r="U22" i="10"/>
  <c r="U25" i="10" s="1"/>
  <c r="Y22" i="10"/>
  <c r="Y23" i="10" s="1"/>
  <c r="X22" i="10"/>
  <c r="X23" i="10" s="1"/>
  <c r="W22" i="10"/>
  <c r="W23" i="10" s="1"/>
  <c r="V22" i="10"/>
  <c r="V23" i="10" s="1"/>
  <c r="BH48" i="3" l="1"/>
  <c r="BH66" i="3"/>
  <c r="A19" i="24"/>
  <c r="A617" i="13"/>
  <c r="F36" i="13"/>
  <c r="F44" i="13"/>
  <c r="F52" i="13"/>
  <c r="F60" i="13"/>
  <c r="F68" i="13"/>
  <c r="F76" i="13"/>
  <c r="F84" i="13"/>
  <c r="F92" i="13"/>
  <c r="F100" i="13"/>
  <c r="F108" i="13"/>
  <c r="F116" i="13"/>
  <c r="F124" i="13"/>
  <c r="F132" i="13"/>
  <c r="F140" i="13"/>
  <c r="F148" i="13"/>
  <c r="F156" i="13"/>
  <c r="F164" i="13"/>
  <c r="F172" i="13"/>
  <c r="F180" i="13"/>
  <c r="F188" i="13"/>
  <c r="F37" i="13"/>
  <c r="F45" i="13"/>
  <c r="F53" i="13"/>
  <c r="F61" i="13"/>
  <c r="F69" i="13"/>
  <c r="F77" i="13"/>
  <c r="F85" i="13"/>
  <c r="F93" i="13"/>
  <c r="F101" i="13"/>
  <c r="F109" i="13"/>
  <c r="F117" i="13"/>
  <c r="F125" i="13"/>
  <c r="F133" i="13"/>
  <c r="F141" i="13"/>
  <c r="F149" i="13"/>
  <c r="F157" i="13"/>
  <c r="F165" i="13"/>
  <c r="F173" i="13"/>
  <c r="F181" i="13"/>
  <c r="F189" i="13"/>
  <c r="F38" i="13"/>
  <c r="F46" i="13"/>
  <c r="F54" i="13"/>
  <c r="F70" i="13"/>
  <c r="F86" i="13"/>
  <c r="F102" i="13"/>
  <c r="F118" i="13"/>
  <c r="F134" i="13"/>
  <c r="F150" i="13"/>
  <c r="F174" i="13"/>
  <c r="F190" i="13"/>
  <c r="F187" i="13"/>
  <c r="F62" i="13"/>
  <c r="F78" i="13"/>
  <c r="F94" i="13"/>
  <c r="F110" i="13"/>
  <c r="F126" i="13"/>
  <c r="F142" i="13"/>
  <c r="F158" i="13"/>
  <c r="F182" i="13"/>
  <c r="F155" i="13"/>
  <c r="F166" i="13"/>
  <c r="F163" i="13"/>
  <c r="F39" i="13"/>
  <c r="F47" i="13"/>
  <c r="F55" i="13"/>
  <c r="F63" i="13"/>
  <c r="F71" i="13"/>
  <c r="F79" i="13"/>
  <c r="F87" i="13"/>
  <c r="F95" i="13"/>
  <c r="F103" i="13"/>
  <c r="F111" i="13"/>
  <c r="F119" i="13"/>
  <c r="F127" i="13"/>
  <c r="F135" i="13"/>
  <c r="F143" i="13"/>
  <c r="F151" i="13"/>
  <c r="F159" i="13"/>
  <c r="F167" i="13"/>
  <c r="F175" i="13"/>
  <c r="F183" i="13"/>
  <c r="F191" i="13"/>
  <c r="F48" i="13"/>
  <c r="F72" i="13"/>
  <c r="F88" i="13"/>
  <c r="F104" i="13"/>
  <c r="F112" i="13"/>
  <c r="F128" i="13"/>
  <c r="F144" i="13"/>
  <c r="F160" i="13"/>
  <c r="F176" i="13"/>
  <c r="F169" i="13"/>
  <c r="F42" i="13"/>
  <c r="F58" i="13"/>
  <c r="F74" i="13"/>
  <c r="F90" i="13"/>
  <c r="F106" i="13"/>
  <c r="F122" i="13"/>
  <c r="F138" i="13"/>
  <c r="F154" i="13"/>
  <c r="F170" i="13"/>
  <c r="F186" i="13"/>
  <c r="F32" i="13"/>
  <c r="F40" i="13"/>
  <c r="F56" i="13"/>
  <c r="F64" i="13"/>
  <c r="F80" i="13"/>
  <c r="F96" i="13"/>
  <c r="F120" i="13"/>
  <c r="F136" i="13"/>
  <c r="F152" i="13"/>
  <c r="F168" i="13"/>
  <c r="F184" i="13"/>
  <c r="F145" i="13"/>
  <c r="F177" i="13"/>
  <c r="F35" i="13"/>
  <c r="F51" i="13"/>
  <c r="F67" i="13"/>
  <c r="F83" i="13"/>
  <c r="F99" i="13"/>
  <c r="F115" i="13"/>
  <c r="F131" i="13"/>
  <c r="F147" i="13"/>
  <c r="F179" i="13"/>
  <c r="F33" i="13"/>
  <c r="F41" i="13"/>
  <c r="F49" i="13"/>
  <c r="F57" i="13"/>
  <c r="F65" i="13"/>
  <c r="F73" i="13"/>
  <c r="F81" i="13"/>
  <c r="F89" i="13"/>
  <c r="F97" i="13"/>
  <c r="F105" i="13"/>
  <c r="F113" i="13"/>
  <c r="F121" i="13"/>
  <c r="F129" i="13"/>
  <c r="F137" i="13"/>
  <c r="F153" i="13"/>
  <c r="F161" i="13"/>
  <c r="F185" i="13"/>
  <c r="F34" i="13"/>
  <c r="F50" i="13"/>
  <c r="F66" i="13"/>
  <c r="F82" i="13"/>
  <c r="F98" i="13"/>
  <c r="F114" i="13"/>
  <c r="F130" i="13"/>
  <c r="F146" i="13"/>
  <c r="F162" i="13"/>
  <c r="F178" i="13"/>
  <c r="F43" i="13"/>
  <c r="F59" i="13"/>
  <c r="F75" i="13"/>
  <c r="F91" i="13"/>
  <c r="F107" i="13"/>
  <c r="F123" i="13"/>
  <c r="F139" i="13"/>
  <c r="F171" i="13"/>
  <c r="DB42" i="3"/>
  <c r="U24" i="10"/>
  <c r="W24" i="10"/>
  <c r="Y24" i="10"/>
  <c r="U23" i="10"/>
  <c r="X24" i="10"/>
  <c r="V24" i="10"/>
  <c r="Y25" i="10"/>
  <c r="X25" i="10"/>
  <c r="W25" i="10"/>
  <c r="V25" i="10"/>
  <c r="A20" i="24" l="1"/>
  <c r="A618" i="13"/>
  <c r="O86" i="13"/>
  <c r="M86" i="13"/>
  <c r="I86" i="13"/>
  <c r="K86" i="13"/>
  <c r="O132" i="13"/>
  <c r="I132" i="13"/>
  <c r="K132" i="13"/>
  <c r="M132" i="13"/>
  <c r="M56" i="13"/>
  <c r="I56" i="13"/>
  <c r="K56" i="13"/>
  <c r="O56" i="13"/>
  <c r="M184" i="13"/>
  <c r="I184" i="13"/>
  <c r="K184" i="13"/>
  <c r="O184" i="13"/>
  <c r="K133" i="13"/>
  <c r="I133" i="13"/>
  <c r="O133" i="13"/>
  <c r="M133" i="13"/>
  <c r="I172" i="13"/>
  <c r="K172" i="13"/>
  <c r="O172" i="13"/>
  <c r="M172" i="13"/>
  <c r="K96" i="13"/>
  <c r="M96" i="13"/>
  <c r="I96" i="13"/>
  <c r="O96" i="13"/>
  <c r="M83" i="13"/>
  <c r="I83" i="13"/>
  <c r="O83" i="13"/>
  <c r="K83" i="13"/>
  <c r="M186" i="13"/>
  <c r="O186" i="13"/>
  <c r="K186" i="13"/>
  <c r="I186" i="13"/>
  <c r="I74" i="13"/>
  <c r="K74" i="13"/>
  <c r="O74" i="13"/>
  <c r="M74" i="13"/>
  <c r="I66" i="13"/>
  <c r="O66" i="13"/>
  <c r="K66" i="13"/>
  <c r="M66" i="13"/>
  <c r="I33" i="13"/>
  <c r="K33" i="13"/>
  <c r="O33" i="13"/>
  <c r="M33" i="13"/>
  <c r="I85" i="13"/>
  <c r="O85" i="13"/>
  <c r="M85" i="13"/>
  <c r="K85" i="13"/>
  <c r="K34" i="13"/>
  <c r="O34" i="13"/>
  <c r="I34" i="13"/>
  <c r="M34" i="13"/>
  <c r="K164" i="13"/>
  <c r="O164" i="13"/>
  <c r="I164" i="13"/>
  <c r="M164" i="13"/>
  <c r="I105" i="13"/>
  <c r="K105" i="13"/>
  <c r="M105" i="13"/>
  <c r="O105" i="13"/>
  <c r="K73" i="13"/>
  <c r="O73" i="13"/>
  <c r="I73" i="13"/>
  <c r="M73" i="13"/>
  <c r="M176" i="13"/>
  <c r="K176" i="13"/>
  <c r="I176" i="13"/>
  <c r="O176" i="13"/>
  <c r="M163" i="13"/>
  <c r="K163" i="13"/>
  <c r="I163" i="13"/>
  <c r="O163" i="13"/>
  <c r="M103" i="13"/>
  <c r="K103" i="13"/>
  <c r="I103" i="13"/>
  <c r="O103" i="13"/>
  <c r="I154" i="13"/>
  <c r="M154" i="13"/>
  <c r="K154" i="13"/>
  <c r="O154" i="13"/>
  <c r="M54" i="13"/>
  <c r="O54" i="13"/>
  <c r="I54" i="13"/>
  <c r="K54" i="13"/>
  <c r="I136" i="13"/>
  <c r="M136" i="13"/>
  <c r="K136" i="13"/>
  <c r="O136" i="13"/>
  <c r="K113" i="13"/>
  <c r="O113" i="13"/>
  <c r="I113" i="13"/>
  <c r="M113" i="13"/>
  <c r="M62" i="13"/>
  <c r="O62" i="13"/>
  <c r="I62" i="13"/>
  <c r="K62" i="13"/>
  <c r="K165" i="13"/>
  <c r="I165" i="13"/>
  <c r="M165" i="13"/>
  <c r="O165" i="13"/>
  <c r="I114" i="13"/>
  <c r="M114" i="13"/>
  <c r="K114" i="13"/>
  <c r="O114" i="13"/>
  <c r="M82" i="13"/>
  <c r="I82" i="13"/>
  <c r="K82" i="13"/>
  <c r="O82" i="13"/>
  <c r="I185" i="13"/>
  <c r="K185" i="13"/>
  <c r="M185" i="13"/>
  <c r="O185" i="13"/>
  <c r="I153" i="13"/>
  <c r="M153" i="13"/>
  <c r="O153" i="13"/>
  <c r="K153" i="13"/>
  <c r="I122" i="13"/>
  <c r="M122" i="13"/>
  <c r="K122" i="13"/>
  <c r="O122" i="13"/>
  <c r="M64" i="13"/>
  <c r="I64" i="13"/>
  <c r="K64" i="13"/>
  <c r="O64" i="13"/>
  <c r="M145" i="13"/>
  <c r="I145" i="13"/>
  <c r="K145" i="13"/>
  <c r="O145" i="13"/>
  <c r="I55" i="13"/>
  <c r="M55" i="13"/>
  <c r="K55" i="13"/>
  <c r="O55" i="13"/>
  <c r="M135" i="13"/>
  <c r="K135" i="13"/>
  <c r="I135" i="13"/>
  <c r="O135" i="13"/>
  <c r="K84" i="13"/>
  <c r="O84" i="13"/>
  <c r="I84" i="13"/>
  <c r="M84" i="13"/>
  <c r="K32" i="13"/>
  <c r="I32" i="13"/>
  <c r="O32" i="13"/>
  <c r="M32" i="13"/>
  <c r="O94" i="13"/>
  <c r="M94" i="13"/>
  <c r="I94" i="13"/>
  <c r="K94" i="13"/>
  <c r="I43" i="13"/>
  <c r="K43" i="13"/>
  <c r="O43" i="13"/>
  <c r="M43" i="13"/>
  <c r="M146" i="13"/>
  <c r="K146" i="13"/>
  <c r="I146" i="13"/>
  <c r="O146" i="13"/>
  <c r="I95" i="13"/>
  <c r="M95" i="13"/>
  <c r="K95" i="13"/>
  <c r="O95" i="13"/>
  <c r="I63" i="13"/>
  <c r="K63" i="13"/>
  <c r="M63" i="13"/>
  <c r="O63" i="13"/>
  <c r="O166" i="13"/>
  <c r="I166" i="13"/>
  <c r="M166" i="13"/>
  <c r="K166" i="13"/>
  <c r="O134" i="13"/>
  <c r="I134" i="13"/>
  <c r="M134" i="13"/>
  <c r="K134" i="13"/>
  <c r="O126" i="13"/>
  <c r="I126" i="13"/>
  <c r="M126" i="13"/>
  <c r="K126" i="13"/>
  <c r="O45" i="13"/>
  <c r="M45" i="13"/>
  <c r="I45" i="13"/>
  <c r="K45" i="13"/>
  <c r="M112" i="13"/>
  <c r="I112" i="13"/>
  <c r="K112" i="13"/>
  <c r="O112" i="13"/>
  <c r="K36" i="13"/>
  <c r="I36" i="13"/>
  <c r="O36" i="13"/>
  <c r="M36" i="13"/>
  <c r="K144" i="13"/>
  <c r="O144" i="13"/>
  <c r="I144" i="13"/>
  <c r="M144" i="13"/>
  <c r="K42" i="13"/>
  <c r="O42" i="13"/>
  <c r="I42" i="13"/>
  <c r="M42" i="13"/>
  <c r="M174" i="13"/>
  <c r="O174" i="13"/>
  <c r="I174" i="13"/>
  <c r="K174" i="13"/>
  <c r="M123" i="13"/>
  <c r="K123" i="13"/>
  <c r="I123" i="13"/>
  <c r="O123" i="13"/>
  <c r="K72" i="13"/>
  <c r="M72" i="13"/>
  <c r="I72" i="13"/>
  <c r="O72" i="13"/>
  <c r="I175" i="13"/>
  <c r="M175" i="13"/>
  <c r="K175" i="13"/>
  <c r="O175" i="13"/>
  <c r="I143" i="13"/>
  <c r="M143" i="13"/>
  <c r="K143" i="13"/>
  <c r="O143" i="13"/>
  <c r="M183" i="13"/>
  <c r="K183" i="13"/>
  <c r="I183" i="13"/>
  <c r="O183" i="13"/>
  <c r="K35" i="13"/>
  <c r="O35" i="13"/>
  <c r="I35" i="13"/>
  <c r="M35" i="13"/>
  <c r="I125" i="13"/>
  <c r="O125" i="13"/>
  <c r="K125" i="13"/>
  <c r="M125" i="13"/>
  <c r="I116" i="13"/>
  <c r="K116" i="13"/>
  <c r="O116" i="13"/>
  <c r="M116" i="13"/>
  <c r="M162" i="13"/>
  <c r="K162" i="13"/>
  <c r="I162" i="13"/>
  <c r="O162" i="13"/>
  <c r="K75" i="13"/>
  <c r="O75" i="13"/>
  <c r="I75" i="13"/>
  <c r="M75" i="13"/>
  <c r="M152" i="13"/>
  <c r="I152" i="13"/>
  <c r="O152" i="13"/>
  <c r="K152" i="13"/>
  <c r="O76" i="13"/>
  <c r="M76" i="13"/>
  <c r="I76" i="13"/>
  <c r="K76" i="13"/>
  <c r="I44" i="13"/>
  <c r="M44" i="13"/>
  <c r="O44" i="13"/>
  <c r="K44" i="13"/>
  <c r="K46" i="13"/>
  <c r="O46" i="13"/>
  <c r="I46" i="13"/>
  <c r="M46" i="13"/>
  <c r="I115" i="13"/>
  <c r="M115" i="13"/>
  <c r="K115" i="13"/>
  <c r="O115" i="13"/>
  <c r="I102" i="13"/>
  <c r="O102" i="13"/>
  <c r="M102" i="13"/>
  <c r="K102" i="13"/>
  <c r="O93" i="13"/>
  <c r="M93" i="13"/>
  <c r="I93" i="13"/>
  <c r="K93" i="13"/>
  <c r="M142" i="13"/>
  <c r="O142" i="13"/>
  <c r="I142" i="13"/>
  <c r="K142" i="13"/>
  <c r="I65" i="13"/>
  <c r="K65" i="13"/>
  <c r="O65" i="13"/>
  <c r="M65" i="13"/>
  <c r="I52" i="13"/>
  <c r="K52" i="13"/>
  <c r="O52" i="13"/>
  <c r="M52" i="13"/>
  <c r="I155" i="13"/>
  <c r="M155" i="13"/>
  <c r="K155" i="13"/>
  <c r="O155" i="13"/>
  <c r="M104" i="13"/>
  <c r="I104" i="13"/>
  <c r="K104" i="13"/>
  <c r="O104" i="13"/>
  <c r="I53" i="13"/>
  <c r="K53" i="13"/>
  <c r="O53" i="13"/>
  <c r="M53" i="13"/>
  <c r="K156" i="13"/>
  <c r="O156" i="13"/>
  <c r="I156" i="13"/>
  <c r="M156" i="13"/>
  <c r="K124" i="13"/>
  <c r="O124" i="13"/>
  <c r="I124" i="13"/>
  <c r="M124" i="13"/>
  <c r="I92" i="13"/>
  <c r="K92" i="13"/>
  <c r="O92" i="13"/>
  <c r="M92" i="13"/>
  <c r="O182" i="13"/>
  <c r="I182" i="13"/>
  <c r="M182" i="13"/>
  <c r="K182" i="13"/>
  <c r="M106" i="13"/>
  <c r="I106" i="13"/>
  <c r="K106" i="13"/>
  <c r="O106" i="13"/>
  <c r="O173" i="13"/>
  <c r="K173" i="13"/>
  <c r="I173" i="13"/>
  <c r="M173" i="13"/>
  <c r="D3" i="11"/>
  <c r="E3" i="11" s="1"/>
  <c r="F3" i="11" s="1"/>
  <c r="A21" i="24" l="1"/>
  <c r="A619" i="13"/>
  <c r="P73" i="13"/>
  <c r="P156" i="13"/>
  <c r="P136" i="13"/>
  <c r="P164" i="13"/>
  <c r="P56" i="13"/>
  <c r="P86" i="13"/>
  <c r="P134" i="13"/>
  <c r="P142" i="13"/>
  <c r="P82" i="13"/>
  <c r="P153" i="13"/>
  <c r="P145" i="13"/>
  <c r="P33" i="13"/>
  <c r="P95" i="13"/>
  <c r="P123" i="13"/>
  <c r="P45" i="13"/>
  <c r="P75" i="13"/>
  <c r="P116" i="13"/>
  <c r="P44" i="13"/>
  <c r="P143" i="13"/>
  <c r="P144" i="13"/>
  <c r="P122" i="13"/>
  <c r="P62" i="13"/>
  <c r="P172" i="13"/>
  <c r="P184" i="13"/>
  <c r="P132" i="13"/>
  <c r="P182" i="13"/>
  <c r="P124" i="13"/>
  <c r="P175" i="13"/>
  <c r="P84" i="13"/>
  <c r="P185" i="13"/>
  <c r="P94" i="13"/>
  <c r="P186" i="13"/>
  <c r="P96" i="13"/>
  <c r="P104" i="13"/>
  <c r="P152" i="13"/>
  <c r="P35" i="13"/>
  <c r="P174" i="13"/>
  <c r="P85" i="13"/>
  <c r="P43" i="13"/>
  <c r="P34" i="13"/>
  <c r="P66" i="13"/>
  <c r="P93" i="13"/>
  <c r="P76" i="13"/>
  <c r="P112" i="13"/>
  <c r="P65" i="13"/>
  <c r="P166" i="13"/>
  <c r="P54" i="13"/>
  <c r="P176" i="13"/>
  <c r="P162" i="13"/>
  <c r="P126" i="13"/>
  <c r="P46" i="13"/>
  <c r="P125" i="13"/>
  <c r="P42" i="13"/>
  <c r="P36" i="13"/>
  <c r="P55" i="13"/>
  <c r="P64" i="13"/>
  <c r="P114" i="13"/>
  <c r="P105" i="13"/>
  <c r="P106" i="13"/>
  <c r="P155" i="13"/>
  <c r="P163" i="13"/>
  <c r="P32" i="13"/>
  <c r="P135" i="13"/>
  <c r="P133" i="13"/>
  <c r="P183" i="13"/>
  <c r="P72" i="13"/>
  <c r="P146" i="13"/>
  <c r="P113" i="13"/>
  <c r="P154" i="13"/>
  <c r="P74" i="13"/>
  <c r="P83" i="13"/>
  <c r="P92" i="13"/>
  <c r="P115" i="13"/>
  <c r="P63" i="13"/>
  <c r="P165" i="13"/>
  <c r="P103" i="13"/>
  <c r="P53" i="13"/>
  <c r="P173" i="13"/>
  <c r="P52" i="13"/>
  <c r="P102" i="13"/>
  <c r="M130" i="13"/>
  <c r="I130" i="13"/>
  <c r="K130" i="13"/>
  <c r="O130" i="13"/>
  <c r="M178" i="13"/>
  <c r="K178" i="13"/>
  <c r="I178" i="13"/>
  <c r="O178" i="13"/>
  <c r="M137" i="13"/>
  <c r="K137" i="13"/>
  <c r="I137" i="13"/>
  <c r="O137" i="13"/>
  <c r="I38" i="13"/>
  <c r="M38" i="13"/>
  <c r="O38" i="13"/>
  <c r="K38" i="13"/>
  <c r="K99" i="13"/>
  <c r="I99" i="13"/>
  <c r="O99" i="13"/>
  <c r="M99" i="13"/>
  <c r="I87" i="13"/>
  <c r="M87" i="13"/>
  <c r="K87" i="13"/>
  <c r="O87" i="13"/>
  <c r="K160" i="13"/>
  <c r="M160" i="13"/>
  <c r="O160" i="13"/>
  <c r="I160" i="13"/>
  <c r="I39" i="13"/>
  <c r="M39" i="13"/>
  <c r="K39" i="13"/>
  <c r="O39" i="13"/>
  <c r="M110" i="13"/>
  <c r="O110" i="13"/>
  <c r="I110" i="13"/>
  <c r="K110" i="13"/>
  <c r="K81" i="13"/>
  <c r="O81" i="13"/>
  <c r="I81" i="13"/>
  <c r="M81" i="13"/>
  <c r="I69" i="13"/>
  <c r="O69" i="13"/>
  <c r="M69" i="13"/>
  <c r="K69" i="13"/>
  <c r="I101" i="13"/>
  <c r="O101" i="13"/>
  <c r="M101" i="13"/>
  <c r="K101" i="13"/>
  <c r="O118" i="13"/>
  <c r="I118" i="13"/>
  <c r="M118" i="13"/>
  <c r="K118" i="13"/>
  <c r="O78" i="13"/>
  <c r="M78" i="13"/>
  <c r="I78" i="13"/>
  <c r="K78" i="13"/>
  <c r="M179" i="13"/>
  <c r="K179" i="13"/>
  <c r="I179" i="13"/>
  <c r="O179" i="13"/>
  <c r="I167" i="13"/>
  <c r="M167" i="13"/>
  <c r="K167" i="13"/>
  <c r="O167" i="13"/>
  <c r="K51" i="13"/>
  <c r="O51" i="13"/>
  <c r="I51" i="13"/>
  <c r="M51" i="13"/>
  <c r="M119" i="13"/>
  <c r="K119" i="13"/>
  <c r="I119" i="13"/>
  <c r="O119" i="13"/>
  <c r="I37" i="13"/>
  <c r="O37" i="13"/>
  <c r="M37" i="13"/>
  <c r="K37" i="13"/>
  <c r="I111" i="13"/>
  <c r="M111" i="13"/>
  <c r="K111" i="13"/>
  <c r="O111" i="13"/>
  <c r="O149" i="13"/>
  <c r="K149" i="13"/>
  <c r="I149" i="13"/>
  <c r="M149" i="13"/>
  <c r="O108" i="13"/>
  <c r="M108" i="13"/>
  <c r="K108" i="13"/>
  <c r="I108" i="13"/>
  <c r="O181" i="13"/>
  <c r="I181" i="13"/>
  <c r="K181" i="13"/>
  <c r="M181" i="13"/>
  <c r="K89" i="13"/>
  <c r="O89" i="13"/>
  <c r="I89" i="13"/>
  <c r="M89" i="13"/>
  <c r="I180" i="13"/>
  <c r="K180" i="13"/>
  <c r="M180" i="13"/>
  <c r="O180" i="13"/>
  <c r="M70" i="13"/>
  <c r="O70" i="13"/>
  <c r="I70" i="13"/>
  <c r="K70" i="13"/>
  <c r="I58" i="13"/>
  <c r="K58" i="13"/>
  <c r="O58" i="13"/>
  <c r="M58" i="13"/>
  <c r="M131" i="13"/>
  <c r="K131" i="13"/>
  <c r="I131" i="13"/>
  <c r="O131" i="13"/>
  <c r="M90" i="13"/>
  <c r="K90" i="13"/>
  <c r="I90" i="13"/>
  <c r="O90" i="13"/>
  <c r="I57" i="13"/>
  <c r="K57" i="13"/>
  <c r="O57" i="13"/>
  <c r="M57" i="13"/>
  <c r="I148" i="13"/>
  <c r="K148" i="13"/>
  <c r="O148" i="13"/>
  <c r="M148" i="13"/>
  <c r="K88" i="13"/>
  <c r="O88" i="13"/>
  <c r="M88" i="13"/>
  <c r="I88" i="13"/>
  <c r="O158" i="13"/>
  <c r="M158" i="13"/>
  <c r="I158" i="13"/>
  <c r="K158" i="13"/>
  <c r="K40" i="13"/>
  <c r="M40" i="13"/>
  <c r="I40" i="13"/>
  <c r="O40" i="13"/>
  <c r="M169" i="13"/>
  <c r="I169" i="13"/>
  <c r="K169" i="13"/>
  <c r="O169" i="13"/>
  <c r="O77" i="13"/>
  <c r="M77" i="13"/>
  <c r="I77" i="13"/>
  <c r="K77" i="13"/>
  <c r="M150" i="13"/>
  <c r="O150" i="13"/>
  <c r="I150" i="13"/>
  <c r="K150" i="13"/>
  <c r="M138" i="13"/>
  <c r="K138" i="13"/>
  <c r="I138" i="13"/>
  <c r="O138" i="13"/>
  <c r="I71" i="13"/>
  <c r="M71" i="13"/>
  <c r="K71" i="13"/>
  <c r="O71" i="13"/>
  <c r="M170" i="13"/>
  <c r="I170" i="13"/>
  <c r="K170" i="13"/>
  <c r="O170" i="13"/>
  <c r="I147" i="13"/>
  <c r="M147" i="13"/>
  <c r="K147" i="13"/>
  <c r="O147" i="13"/>
  <c r="M107" i="13"/>
  <c r="K107" i="13"/>
  <c r="I107" i="13"/>
  <c r="O107" i="13"/>
  <c r="I59" i="13"/>
  <c r="K59" i="13"/>
  <c r="O59" i="13"/>
  <c r="M59" i="13"/>
  <c r="I47" i="13"/>
  <c r="M47" i="13"/>
  <c r="K47" i="13"/>
  <c r="O47" i="13"/>
  <c r="K120" i="13"/>
  <c r="M120" i="13"/>
  <c r="O120" i="13"/>
  <c r="I120" i="13"/>
  <c r="I79" i="13"/>
  <c r="M79" i="13"/>
  <c r="K79" i="13"/>
  <c r="O79" i="13"/>
  <c r="I49" i="13"/>
  <c r="K49" i="13"/>
  <c r="M49" i="13"/>
  <c r="O49" i="13"/>
  <c r="K60" i="13"/>
  <c r="O60" i="13"/>
  <c r="I60" i="13"/>
  <c r="M60" i="13"/>
  <c r="K157" i="13"/>
  <c r="O157" i="13"/>
  <c r="I157" i="13"/>
  <c r="M157" i="13"/>
  <c r="K41" i="13"/>
  <c r="O41" i="13"/>
  <c r="I41" i="13"/>
  <c r="M41" i="13"/>
  <c r="K97" i="13"/>
  <c r="O97" i="13"/>
  <c r="I97" i="13"/>
  <c r="M97" i="13"/>
  <c r="O61" i="13"/>
  <c r="M61" i="13"/>
  <c r="I61" i="13"/>
  <c r="K61" i="13"/>
  <c r="O117" i="13"/>
  <c r="K117" i="13"/>
  <c r="I117" i="13"/>
  <c r="M117" i="13"/>
  <c r="K168" i="13"/>
  <c r="M168" i="13"/>
  <c r="I168" i="13"/>
  <c r="O168" i="13"/>
  <c r="I139" i="13"/>
  <c r="M139" i="13"/>
  <c r="K139" i="13"/>
  <c r="O139" i="13"/>
  <c r="I127" i="13"/>
  <c r="M127" i="13"/>
  <c r="K127" i="13"/>
  <c r="O127" i="13"/>
  <c r="K91" i="13"/>
  <c r="M91" i="13"/>
  <c r="I91" i="13"/>
  <c r="O91" i="13"/>
  <c r="I159" i="13"/>
  <c r="K159" i="13"/>
  <c r="O159" i="13"/>
  <c r="M159" i="13"/>
  <c r="I151" i="13"/>
  <c r="M151" i="13"/>
  <c r="K151" i="13"/>
  <c r="O151" i="13"/>
  <c r="K140" i="13"/>
  <c r="I140" i="13"/>
  <c r="O140" i="13"/>
  <c r="M140" i="13"/>
  <c r="K48" i="13"/>
  <c r="M48" i="13"/>
  <c r="I48" i="13"/>
  <c r="O48" i="13"/>
  <c r="K121" i="13"/>
  <c r="I121" i="13"/>
  <c r="M121" i="13"/>
  <c r="O121" i="13"/>
  <c r="O109" i="13"/>
  <c r="M109" i="13"/>
  <c r="I109" i="13"/>
  <c r="K109" i="13"/>
  <c r="M177" i="13"/>
  <c r="K177" i="13"/>
  <c r="I177" i="13"/>
  <c r="O177" i="13"/>
  <c r="O141" i="13"/>
  <c r="I141" i="13"/>
  <c r="K141" i="13"/>
  <c r="M141" i="13"/>
  <c r="K98" i="13"/>
  <c r="M98" i="13"/>
  <c r="I98" i="13"/>
  <c r="O98" i="13"/>
  <c r="M80" i="13"/>
  <c r="I80" i="13"/>
  <c r="K80" i="13"/>
  <c r="O80" i="13"/>
  <c r="I161" i="13"/>
  <c r="M161" i="13"/>
  <c r="K161" i="13"/>
  <c r="O161" i="13"/>
  <c r="K129" i="13"/>
  <c r="M129" i="13"/>
  <c r="I129" i="13"/>
  <c r="O129" i="13"/>
  <c r="K100" i="13"/>
  <c r="I100" i="13"/>
  <c r="O100" i="13"/>
  <c r="M100" i="13"/>
  <c r="M171" i="13"/>
  <c r="O171" i="13"/>
  <c r="K171" i="13"/>
  <c r="I171" i="13"/>
  <c r="I50" i="13"/>
  <c r="K50" i="13"/>
  <c r="O50" i="13"/>
  <c r="M50" i="13"/>
  <c r="I67" i="13"/>
  <c r="M67" i="13"/>
  <c r="K67" i="13"/>
  <c r="O67" i="13"/>
  <c r="M128" i="13"/>
  <c r="I128" i="13"/>
  <c r="K128" i="13"/>
  <c r="O128" i="13"/>
  <c r="M187" i="13"/>
  <c r="K187" i="13"/>
  <c r="I187" i="13"/>
  <c r="O187" i="13"/>
  <c r="O68" i="13"/>
  <c r="I68" i="13"/>
  <c r="K68" i="13"/>
  <c r="M68" i="13"/>
  <c r="A42" i="2"/>
  <c r="A41" i="2"/>
  <c r="A40" i="2"/>
  <c r="A39" i="2"/>
  <c r="A38" i="2"/>
  <c r="A37" i="2"/>
  <c r="A36" i="2"/>
  <c r="A35" i="2"/>
  <c r="CG34" i="3"/>
  <c r="CG5" i="3"/>
  <c r="CG6" i="3"/>
  <c r="CG7" i="3"/>
  <c r="CG8" i="3"/>
  <c r="CG9" i="3"/>
  <c r="CG10" i="3"/>
  <c r="CG11" i="3"/>
  <c r="CG12" i="3"/>
  <c r="CG13" i="3"/>
  <c r="CG14" i="3"/>
  <c r="CG15" i="3"/>
  <c r="CG16" i="3"/>
  <c r="CG17" i="3"/>
  <c r="CG18" i="3"/>
  <c r="CG19" i="3"/>
  <c r="CG20" i="3"/>
  <c r="CG21" i="3"/>
  <c r="CG22" i="3"/>
  <c r="CG23" i="3"/>
  <c r="CG24" i="3"/>
  <c r="CG25" i="3"/>
  <c r="CG26" i="3"/>
  <c r="CG4" i="3"/>
  <c r="CA1" i="1"/>
  <c r="A22" i="24" l="1"/>
  <c r="A620" i="13"/>
  <c r="P130" i="13"/>
  <c r="P127" i="13"/>
  <c r="P148" i="13"/>
  <c r="P167" i="13"/>
  <c r="P89" i="13"/>
  <c r="P119" i="13"/>
  <c r="P181" i="13"/>
  <c r="P168" i="13"/>
  <c r="P40" i="13"/>
  <c r="P88" i="13"/>
  <c r="P129" i="13"/>
  <c r="P158" i="13"/>
  <c r="P79" i="13"/>
  <c r="P178" i="13"/>
  <c r="P171" i="13"/>
  <c r="P118" i="13"/>
  <c r="P68" i="13"/>
  <c r="P71" i="13"/>
  <c r="P108" i="13"/>
  <c r="P39" i="13"/>
  <c r="P177" i="13"/>
  <c r="P121" i="13"/>
  <c r="P138" i="13"/>
  <c r="P57" i="13"/>
  <c r="P70" i="13"/>
  <c r="P61" i="13"/>
  <c r="P90" i="13"/>
  <c r="P100" i="13"/>
  <c r="P187" i="13"/>
  <c r="P80" i="13"/>
  <c r="P149" i="13"/>
  <c r="P137" i="13"/>
  <c r="P157" i="13"/>
  <c r="P49" i="13"/>
  <c r="P69" i="13"/>
  <c r="P110" i="13"/>
  <c r="P97" i="13"/>
  <c r="P147" i="13"/>
  <c r="P48" i="13"/>
  <c r="P91" i="13"/>
  <c r="P117" i="13"/>
  <c r="P47" i="13"/>
  <c r="P179" i="13"/>
  <c r="P87" i="13"/>
  <c r="P161" i="13"/>
  <c r="P139" i="13"/>
  <c r="P99" i="13"/>
  <c r="P60" i="13"/>
  <c r="P59" i="13"/>
  <c r="P81" i="13"/>
  <c r="P160" i="13"/>
  <c r="P140" i="13"/>
  <c r="P41" i="13"/>
  <c r="P150" i="13"/>
  <c r="P111" i="13"/>
  <c r="P141" i="13"/>
  <c r="P109" i="13"/>
  <c r="P159" i="13"/>
  <c r="P107" i="13"/>
  <c r="P169" i="13"/>
  <c r="P58" i="13"/>
  <c r="P78" i="13"/>
  <c r="P128" i="13"/>
  <c r="P151" i="13"/>
  <c r="P180" i="13"/>
  <c r="P67" i="13"/>
  <c r="P170" i="13"/>
  <c r="P77" i="13"/>
  <c r="P131" i="13"/>
  <c r="P51" i="13"/>
  <c r="P38" i="13"/>
  <c r="P50" i="13"/>
  <c r="P98" i="13"/>
  <c r="P120" i="13"/>
  <c r="P37" i="13"/>
  <c r="P101" i="13"/>
  <c r="CG47" i="3"/>
  <c r="CG36" i="3"/>
  <c r="CG37" i="3"/>
  <c r="CG38" i="3"/>
  <c r="CG43" i="3"/>
  <c r="CG44" i="3"/>
  <c r="CG45" i="3"/>
  <c r="CG46" i="3"/>
  <c r="CG35" i="3"/>
  <c r="C7" i="1"/>
  <c r="C41" i="1"/>
  <c r="C39" i="1"/>
  <c r="C37" i="1"/>
  <c r="C35" i="1"/>
  <c r="C33" i="1"/>
  <c r="C31" i="1"/>
  <c r="C29" i="1"/>
  <c r="C27" i="1"/>
  <c r="C25" i="1"/>
  <c r="C23" i="1"/>
  <c r="C21" i="1"/>
  <c r="C19" i="1"/>
  <c r="C17" i="1"/>
  <c r="C15" i="1"/>
  <c r="C13" i="1"/>
  <c r="C11" i="1"/>
  <c r="C9" i="1"/>
  <c r="C5" i="1"/>
  <c r="C3" i="1"/>
  <c r="A23" i="24" l="1"/>
  <c r="A621" i="13"/>
  <c r="CG39" i="3"/>
  <c r="C20" i="1"/>
  <c r="C12" i="1"/>
  <c r="C14" i="1"/>
  <c r="C30" i="1"/>
  <c r="C18" i="1"/>
  <c r="C6" i="1"/>
  <c r="C16" i="1"/>
  <c r="C32" i="1"/>
  <c r="C22" i="1"/>
  <c r="C38" i="1"/>
  <c r="C34" i="1"/>
  <c r="C4" i="1"/>
  <c r="C24" i="1"/>
  <c r="C40" i="1"/>
  <c r="C36" i="1"/>
  <c r="C26" i="1"/>
  <c r="C42" i="1"/>
  <c r="C10" i="1"/>
  <c r="C28" i="1"/>
  <c r="C8" i="1"/>
  <c r="B33" i="6"/>
  <c r="A24" i="24" l="1"/>
  <c r="A622" i="13"/>
  <c r="E3" i="20"/>
  <c r="O17" i="19"/>
  <c r="D5" i="20"/>
  <c r="E5" i="20" s="1"/>
  <c r="F5" i="20" s="1"/>
  <c r="D6" i="20"/>
  <c r="E6" i="20" s="1"/>
  <c r="D7" i="20"/>
  <c r="E7" i="20" s="1"/>
  <c r="E8" i="20"/>
  <c r="D9" i="20"/>
  <c r="E9" i="20" s="1"/>
  <c r="D10" i="20"/>
  <c r="E10" i="20" s="1"/>
  <c r="D11" i="20"/>
  <c r="E11" i="20" s="1"/>
  <c r="D12" i="20"/>
  <c r="E12" i="20" s="1"/>
  <c r="D13" i="20"/>
  <c r="D14" i="20"/>
  <c r="E14" i="20" s="1"/>
  <c r="D15" i="20"/>
  <c r="E15" i="20" s="1"/>
  <c r="D16" i="20"/>
  <c r="E16" i="20" s="1"/>
  <c r="D17" i="20"/>
  <c r="E17" i="20" s="1"/>
  <c r="D18" i="20"/>
  <c r="E18" i="20" s="1"/>
  <c r="D19" i="20"/>
  <c r="E19" i="20" s="1"/>
  <c r="D20" i="20"/>
  <c r="E20" i="20" s="1"/>
  <c r="D21" i="20"/>
  <c r="E21" i="20" s="1"/>
  <c r="D22" i="20"/>
  <c r="E22" i="20" s="1"/>
  <c r="E13" i="20"/>
  <c r="A25" i="24" l="1"/>
  <c r="A623" i="13"/>
  <c r="F11" i="20"/>
  <c r="O101" i="19" s="1"/>
  <c r="O185" i="19"/>
  <c r="F10" i="20"/>
  <c r="O89" i="19" s="1"/>
  <c r="F12" i="20"/>
  <c r="O113" i="19" s="1"/>
  <c r="F17" i="20"/>
  <c r="O173" i="19" s="1"/>
  <c r="F13" i="20"/>
  <c r="O125" i="19" s="1"/>
  <c r="F8" i="20"/>
  <c r="O65" i="19" s="1"/>
  <c r="F9" i="20"/>
  <c r="O77" i="19" s="1"/>
  <c r="F16" i="20"/>
  <c r="O161" i="19" s="1"/>
  <c r="F7" i="20"/>
  <c r="O53" i="19" s="1"/>
  <c r="F19" i="20"/>
  <c r="O197" i="19" s="1"/>
  <c r="F22" i="20"/>
  <c r="O233" i="19" s="1"/>
  <c r="F14" i="20"/>
  <c r="O137" i="19" s="1"/>
  <c r="F6" i="20"/>
  <c r="O41" i="19" s="1"/>
  <c r="F20" i="20"/>
  <c r="O209" i="19" s="1"/>
  <c r="O149" i="19"/>
  <c r="O221" i="19"/>
  <c r="O29" i="19"/>
  <c r="O5" i="19"/>
  <c r="D43" i="3"/>
  <c r="D44" i="3"/>
  <c r="D45" i="3"/>
  <c r="D46" i="3"/>
  <c r="D47" i="3"/>
  <c r="C45" i="1"/>
  <c r="F4" i="2"/>
  <c r="L10" i="2"/>
  <c r="A26" i="24" l="1"/>
  <c r="A624" i="13"/>
  <c r="E13" i="6"/>
  <c r="BA3" i="15"/>
  <c r="D28" i="2"/>
  <c r="C80" i="2"/>
  <c r="D26" i="2"/>
  <c r="C79" i="2"/>
  <c r="D24" i="2"/>
  <c r="C78" i="2"/>
  <c r="D22" i="2"/>
  <c r="C77" i="2"/>
  <c r="D20" i="2"/>
  <c r="C76" i="2"/>
  <c r="D18" i="2"/>
  <c r="C75" i="2"/>
  <c r="D16" i="2"/>
  <c r="C74" i="2"/>
  <c r="D14" i="2"/>
  <c r="C73" i="2"/>
  <c r="D12" i="2"/>
  <c r="A27" i="24" l="1"/>
  <c r="A625" i="13"/>
  <c r="C71" i="2"/>
  <c r="D71" i="2" s="1"/>
  <c r="W2" i="24" s="1"/>
  <c r="V21" i="13" s="1"/>
  <c r="A33" i="2"/>
  <c r="C72" i="2"/>
  <c r="A34" i="2"/>
  <c r="D3" i="2"/>
  <c r="Y3" i="15"/>
  <c r="W3" i="15"/>
  <c r="P3" i="15"/>
  <c r="O3" i="15"/>
  <c r="AZ3" i="15"/>
  <c r="AC3" i="15"/>
  <c r="AE3" i="15"/>
  <c r="A5" i="12"/>
  <c r="A6" i="12" s="1"/>
  <c r="B2" i="12"/>
  <c r="A28" i="24" l="1"/>
  <c r="A626" i="13"/>
  <c r="V44" i="13"/>
  <c r="V27" i="13"/>
  <c r="V23" i="13"/>
  <c r="V30" i="13"/>
  <c r="V22" i="13"/>
  <c r="V26" i="13"/>
  <c r="V28" i="13"/>
  <c r="V24" i="13"/>
  <c r="W3" i="24"/>
  <c r="W7" i="24"/>
  <c r="W32" i="24"/>
  <c r="W15" i="24"/>
  <c r="W14" i="24"/>
  <c r="W16" i="24"/>
  <c r="W8" i="24"/>
  <c r="W22" i="24"/>
  <c r="W6" i="24"/>
  <c r="W21" i="24"/>
  <c r="W13" i="24"/>
  <c r="W5" i="24"/>
  <c r="W20" i="24"/>
  <c r="W12" i="24"/>
  <c r="W4" i="24"/>
  <c r="W10" i="24"/>
  <c r="W17" i="24"/>
  <c r="W19" i="24"/>
  <c r="W11" i="24"/>
  <c r="W18" i="24"/>
  <c r="W9" i="24"/>
  <c r="B1" i="19"/>
  <c r="D5" i="19" s="1"/>
  <c r="E5" i="19" s="1"/>
  <c r="B229" i="19"/>
  <c r="D235" i="19" s="1"/>
  <c r="E235" i="19" s="1"/>
  <c r="B217" i="19"/>
  <c r="D219" i="19" s="1"/>
  <c r="E219" i="19" s="1"/>
  <c r="B205" i="19"/>
  <c r="D213" i="19" s="1"/>
  <c r="E213" i="19" s="1"/>
  <c r="B193" i="19"/>
  <c r="B181" i="19"/>
  <c r="D189" i="19" s="1"/>
  <c r="B169" i="19"/>
  <c r="D171" i="19" s="1"/>
  <c r="E171" i="19" s="1"/>
  <c r="F171" i="19" s="1"/>
  <c r="B157" i="19"/>
  <c r="D165" i="19" s="1"/>
  <c r="E165" i="19" s="1"/>
  <c r="B145" i="19"/>
  <c r="B133" i="19"/>
  <c r="D141" i="19" s="1"/>
  <c r="E141" i="19" s="1"/>
  <c r="F141" i="19" s="1"/>
  <c r="B121" i="19"/>
  <c r="D128" i="19" s="1"/>
  <c r="B109" i="19"/>
  <c r="D117" i="19" s="1"/>
  <c r="B97" i="19"/>
  <c r="B85" i="19"/>
  <c r="B73" i="19"/>
  <c r="D79" i="19" s="1"/>
  <c r="E79" i="19" s="1"/>
  <c r="B61" i="19"/>
  <c r="D68" i="19" s="1"/>
  <c r="B49" i="19"/>
  <c r="D56" i="19" s="1"/>
  <c r="E56" i="19" s="1"/>
  <c r="A1" i="19"/>
  <c r="B37" i="19"/>
  <c r="B25" i="19"/>
  <c r="B13" i="19"/>
  <c r="O231" i="19"/>
  <c r="O219" i="19"/>
  <c r="O207" i="19"/>
  <c r="O195" i="19"/>
  <c r="O183" i="19"/>
  <c r="O171" i="19"/>
  <c r="O159" i="19"/>
  <c r="O147" i="19"/>
  <c r="O135" i="19"/>
  <c r="O123" i="19"/>
  <c r="O111" i="19"/>
  <c r="O99" i="19"/>
  <c r="O87" i="19"/>
  <c r="O75" i="19"/>
  <c r="O63" i="19"/>
  <c r="O51" i="19"/>
  <c r="O39" i="19"/>
  <c r="O27" i="19"/>
  <c r="O15" i="19"/>
  <c r="O3" i="19"/>
  <c r="B80" i="2"/>
  <c r="D80" i="2" s="1"/>
  <c r="AF2" i="24" s="1"/>
  <c r="B79" i="2"/>
  <c r="D79" i="2" s="1"/>
  <c r="AE2" i="24" s="1"/>
  <c r="AD21" i="13" s="1"/>
  <c r="B78" i="2"/>
  <c r="D78" i="2" s="1"/>
  <c r="AD2" i="24" s="1"/>
  <c r="AC21" i="13" s="1"/>
  <c r="B77" i="2"/>
  <c r="D77" i="2" s="1"/>
  <c r="AC2" i="24" s="1"/>
  <c r="AB21" i="13" s="1"/>
  <c r="B76" i="2"/>
  <c r="D76" i="2" s="1"/>
  <c r="AB2" i="24" s="1"/>
  <c r="AA21" i="13" s="1"/>
  <c r="B75" i="2"/>
  <c r="D75" i="2" s="1"/>
  <c r="AA2" i="24" s="1"/>
  <c r="Z21" i="13" s="1"/>
  <c r="B74" i="2"/>
  <c r="D74" i="2" s="1"/>
  <c r="Z2" i="24" s="1"/>
  <c r="Y21" i="13" s="1"/>
  <c r="B73" i="2"/>
  <c r="D73" i="2" s="1"/>
  <c r="Y2" i="24" s="1"/>
  <c r="X21" i="13" s="1"/>
  <c r="B72" i="2"/>
  <c r="D72" i="2" s="1"/>
  <c r="C23" i="20"/>
  <c r="A4" i="20"/>
  <c r="I1" i="20"/>
  <c r="D234" i="19"/>
  <c r="D140" i="19"/>
  <c r="D139" i="19"/>
  <c r="D136" i="19"/>
  <c r="A13" i="19" l="1"/>
  <c r="O14" i="19" s="1"/>
  <c r="D222" i="13"/>
  <c r="D223" i="13"/>
  <c r="D224" i="13"/>
  <c r="D225" i="13"/>
  <c r="D226" i="13"/>
  <c r="D227" i="13"/>
  <c r="D228" i="13"/>
  <c r="D229" i="13"/>
  <c r="D230" i="13"/>
  <c r="D231" i="13"/>
  <c r="D232" i="13"/>
  <c r="D233" i="13"/>
  <c r="D234" i="13"/>
  <c r="D235" i="13"/>
  <c r="D236" i="13"/>
  <c r="D237" i="13"/>
  <c r="D238" i="13"/>
  <c r="D239" i="13"/>
  <c r="D240" i="13"/>
  <c r="D241" i="13"/>
  <c r="A29" i="24"/>
  <c r="A627" i="13"/>
  <c r="X44" i="13"/>
  <c r="X23" i="13"/>
  <c r="X30" i="13"/>
  <c r="X27" i="13"/>
  <c r="X28" i="13"/>
  <c r="X26" i="13"/>
  <c r="X24" i="13"/>
  <c r="X22" i="13"/>
  <c r="AD44" i="13"/>
  <c r="AD26" i="13"/>
  <c r="AD27" i="13"/>
  <c r="AD24" i="13"/>
  <c r="AD30" i="13"/>
  <c r="AD23" i="13"/>
  <c r="AD28" i="13"/>
  <c r="AD22" i="13"/>
  <c r="Z44" i="13"/>
  <c r="Z27" i="13"/>
  <c r="Z28" i="13"/>
  <c r="Z26" i="13"/>
  <c r="Z23" i="13"/>
  <c r="Z22" i="13"/>
  <c r="Z30" i="13"/>
  <c r="Z24" i="13"/>
  <c r="AA44" i="13"/>
  <c r="AA30" i="13"/>
  <c r="AA26" i="13"/>
  <c r="AA27" i="13"/>
  <c r="AA28" i="13"/>
  <c r="AA24" i="13"/>
  <c r="AA23" i="13"/>
  <c r="AA22" i="13"/>
  <c r="AF22" i="24"/>
  <c r="AE21" i="13"/>
  <c r="AB44" i="13"/>
  <c r="AB27" i="13"/>
  <c r="AB24" i="13"/>
  <c r="AB23" i="13"/>
  <c r="AB26" i="13"/>
  <c r="AB30" i="13"/>
  <c r="AB22" i="13"/>
  <c r="AB28" i="13"/>
  <c r="Y44" i="13"/>
  <c r="Y30" i="13"/>
  <c r="Y23" i="13"/>
  <c r="Y26" i="13"/>
  <c r="Y28" i="13"/>
  <c r="Y22" i="13"/>
  <c r="Y27" i="13"/>
  <c r="Y24" i="13"/>
  <c r="AC44" i="13"/>
  <c r="AC22" i="13"/>
  <c r="AC24" i="13"/>
  <c r="AC26" i="13"/>
  <c r="AC28" i="13"/>
  <c r="AC30" i="13"/>
  <c r="AC23" i="13"/>
  <c r="AC27" i="13"/>
  <c r="D220" i="19"/>
  <c r="D221" i="19"/>
  <c r="D125" i="19"/>
  <c r="D129" i="19"/>
  <c r="AE32" i="24"/>
  <c r="AE38" i="24" s="1"/>
  <c r="AE7" i="24"/>
  <c r="AE10" i="24"/>
  <c r="AE15" i="24"/>
  <c r="AE14" i="24"/>
  <c r="AE20" i="24"/>
  <c r="AE3" i="24"/>
  <c r="AE22" i="24"/>
  <c r="AE12" i="24"/>
  <c r="AE17" i="24"/>
  <c r="AE6" i="24"/>
  <c r="AE19" i="24"/>
  <c r="AE8" i="24"/>
  <c r="AE21" i="24"/>
  <c r="AE11" i="24"/>
  <c r="AE13" i="24"/>
  <c r="AE9" i="24"/>
  <c r="AE4" i="24"/>
  <c r="AE16" i="24"/>
  <c r="AE18" i="24"/>
  <c r="AE5" i="24"/>
  <c r="AD32" i="24"/>
  <c r="AD38" i="24" s="1"/>
  <c r="AD18" i="24"/>
  <c r="AD15" i="24"/>
  <c r="AD6" i="24"/>
  <c r="AD19" i="24"/>
  <c r="AD16" i="24"/>
  <c r="AD17" i="24"/>
  <c r="AD11" i="24"/>
  <c r="AD13" i="24"/>
  <c r="AD21" i="24"/>
  <c r="AD5" i="24"/>
  <c r="AD22" i="24"/>
  <c r="AD3" i="24"/>
  <c r="AD12" i="24"/>
  <c r="AD20" i="24"/>
  <c r="AD7" i="24"/>
  <c r="AD8" i="24"/>
  <c r="AD14" i="24"/>
  <c r="AD10" i="24"/>
  <c r="AD9" i="24"/>
  <c r="AD4" i="24"/>
  <c r="AF32" i="24"/>
  <c r="AF34" i="24" s="1"/>
  <c r="AF7" i="24"/>
  <c r="AF14" i="24"/>
  <c r="AF20" i="24"/>
  <c r="AF4" i="24"/>
  <c r="AF3" i="24"/>
  <c r="AF12" i="24"/>
  <c r="AF18" i="24"/>
  <c r="AF6" i="24"/>
  <c r="AF21" i="24"/>
  <c r="AF10" i="24"/>
  <c r="AF19" i="24"/>
  <c r="AF16" i="24"/>
  <c r="AF13" i="24"/>
  <c r="AF9" i="24"/>
  <c r="AF11" i="24"/>
  <c r="AF5" i="24"/>
  <c r="AF8" i="24"/>
  <c r="AF15" i="24"/>
  <c r="AF17" i="24"/>
  <c r="Y32" i="24"/>
  <c r="Y33" i="24" s="1"/>
  <c r="Y9" i="24"/>
  <c r="Y22" i="24"/>
  <c r="Y20" i="24"/>
  <c r="Y18" i="24"/>
  <c r="Y16" i="24"/>
  <c r="Y3" i="24"/>
  <c r="Y15" i="24"/>
  <c r="Y21" i="24"/>
  <c r="Y12" i="24"/>
  <c r="Y19" i="24"/>
  <c r="Y8" i="24"/>
  <c r="Y17" i="24"/>
  <c r="Y6" i="24"/>
  <c r="Y11" i="24"/>
  <c r="Y13" i="24"/>
  <c r="Y4" i="24"/>
  <c r="Y5" i="24"/>
  <c r="Y7" i="24"/>
  <c r="Y14" i="24"/>
  <c r="Y10" i="24"/>
  <c r="Z32" i="24"/>
  <c r="Z33" i="24" s="1"/>
  <c r="Z3" i="24"/>
  <c r="Z13" i="24"/>
  <c r="Z8" i="24"/>
  <c r="Z5" i="24"/>
  <c r="Z4" i="24"/>
  <c r="Z7" i="24"/>
  <c r="Z18" i="24"/>
  <c r="Z16" i="24"/>
  <c r="Z15" i="24"/>
  <c r="Z14" i="24"/>
  <c r="Z20" i="24"/>
  <c r="Z19" i="24"/>
  <c r="Z17" i="24"/>
  <c r="Z22" i="24"/>
  <c r="Z12" i="24"/>
  <c r="Z6" i="24"/>
  <c r="Z10" i="24"/>
  <c r="Z21" i="24"/>
  <c r="Z9" i="24"/>
  <c r="Z11" i="24"/>
  <c r="AA32" i="24"/>
  <c r="AA39" i="24" s="1"/>
  <c r="AA18" i="24"/>
  <c r="AA8" i="24"/>
  <c r="AA17" i="24"/>
  <c r="AA5" i="24"/>
  <c r="AA7" i="24"/>
  <c r="AA9" i="24"/>
  <c r="AA15" i="24"/>
  <c r="AA14" i="24"/>
  <c r="AA20" i="24"/>
  <c r="AA22" i="24"/>
  <c r="AA12" i="24"/>
  <c r="AA4" i="24"/>
  <c r="AA6" i="24"/>
  <c r="AA10" i="24"/>
  <c r="AA19" i="24"/>
  <c r="AA21" i="24"/>
  <c r="AA11" i="24"/>
  <c r="AA16" i="24"/>
  <c r="AA3" i="24"/>
  <c r="AA13" i="24"/>
  <c r="AB32" i="24"/>
  <c r="AB33" i="24" s="1"/>
  <c r="AB14" i="24"/>
  <c r="AB6" i="24"/>
  <c r="AB22" i="24"/>
  <c r="AB12" i="24"/>
  <c r="AB16" i="24"/>
  <c r="AB21" i="24"/>
  <c r="AB10" i="24"/>
  <c r="AB4" i="24"/>
  <c r="AB19" i="24"/>
  <c r="AB8" i="24"/>
  <c r="AB13" i="24"/>
  <c r="AB9" i="24"/>
  <c r="AB11" i="24"/>
  <c r="AB5" i="24"/>
  <c r="AB18" i="24"/>
  <c r="AB3" i="24"/>
  <c r="AB15" i="24"/>
  <c r="AB17" i="24"/>
  <c r="AB7" i="24"/>
  <c r="AB20" i="24"/>
  <c r="AC32" i="24"/>
  <c r="AC33" i="24" s="1"/>
  <c r="AC14" i="24"/>
  <c r="AC10" i="24"/>
  <c r="AC4" i="24"/>
  <c r="AC6" i="24"/>
  <c r="AC9" i="24"/>
  <c r="AC18" i="24"/>
  <c r="AC16" i="24"/>
  <c r="AC21" i="24"/>
  <c r="AC19" i="24"/>
  <c r="AC8" i="24"/>
  <c r="AC17" i="24"/>
  <c r="AC11" i="24"/>
  <c r="AC13" i="24"/>
  <c r="AC3" i="24"/>
  <c r="AC15" i="24"/>
  <c r="AC5" i="24"/>
  <c r="AC7" i="24"/>
  <c r="AC20" i="24"/>
  <c r="AC22" i="24"/>
  <c r="AC12" i="24"/>
  <c r="W23" i="24"/>
  <c r="W40" i="24"/>
  <c r="W33" i="24"/>
  <c r="W34" i="24"/>
  <c r="W35" i="24"/>
  <c r="W37" i="24"/>
  <c r="W39" i="24"/>
  <c r="W36" i="24"/>
  <c r="W38" i="24"/>
  <c r="D123" i="19"/>
  <c r="E123" i="19" s="1"/>
  <c r="AD36" i="24"/>
  <c r="D172" i="19"/>
  <c r="D173" i="19"/>
  <c r="E173" i="19" s="1"/>
  <c r="D160" i="19"/>
  <c r="E160" i="19" s="1"/>
  <c r="F160" i="19" s="1"/>
  <c r="G160" i="19" s="1"/>
  <c r="D188" i="19"/>
  <c r="A5" i="20"/>
  <c r="A6" i="20" s="1"/>
  <c r="A7" i="20" s="1"/>
  <c r="A8" i="20" s="1"/>
  <c r="A9" i="20" s="1"/>
  <c r="A10" i="20" s="1"/>
  <c r="A11" i="20" s="1"/>
  <c r="A12" i="20" s="1"/>
  <c r="A13" i="20" s="1"/>
  <c r="A14" i="20" s="1"/>
  <c r="A15" i="20" s="1"/>
  <c r="A16" i="20" s="1"/>
  <c r="A17" i="20" s="1"/>
  <c r="A18" i="20" s="1"/>
  <c r="A19" i="20" s="1"/>
  <c r="A20" i="20" s="1"/>
  <c r="A21" i="20" s="1"/>
  <c r="A22" i="20" s="1"/>
  <c r="A229" i="19" s="1"/>
  <c r="O232" i="19" s="1"/>
  <c r="O4" i="19"/>
  <c r="O2" i="19"/>
  <c r="O1" i="19" s="1"/>
  <c r="O16" i="19"/>
  <c r="D162" i="19"/>
  <c r="E162" i="19" s="1"/>
  <c r="D163" i="19"/>
  <c r="E163" i="19" s="1"/>
  <c r="D236" i="19"/>
  <c r="E236" i="19" s="1"/>
  <c r="D135" i="19"/>
  <c r="E135" i="19" s="1"/>
  <c r="D237" i="19"/>
  <c r="E237" i="19" s="1"/>
  <c r="F237" i="19" s="1"/>
  <c r="D138" i="19"/>
  <c r="E138" i="19" s="1"/>
  <c r="D187" i="19"/>
  <c r="E187" i="19" s="1"/>
  <c r="O13" i="19"/>
  <c r="D69" i="19"/>
  <c r="E69" i="19" s="1"/>
  <c r="F69" i="19" s="1"/>
  <c r="D64" i="19"/>
  <c r="E64" i="19" s="1"/>
  <c r="F64" i="19" s="1"/>
  <c r="G64" i="19" s="1"/>
  <c r="D164" i="19"/>
  <c r="E164" i="19" s="1"/>
  <c r="D66" i="19"/>
  <c r="E66" i="19" s="1"/>
  <c r="D63" i="19"/>
  <c r="E63" i="19" s="1"/>
  <c r="D67" i="19"/>
  <c r="E67" i="19" s="1"/>
  <c r="D111" i="19"/>
  <c r="E111" i="19" s="1"/>
  <c r="F111" i="19" s="1"/>
  <c r="D127" i="19"/>
  <c r="E127" i="19" s="1"/>
  <c r="D183" i="19"/>
  <c r="E183" i="19" s="1"/>
  <c r="F183" i="19" s="1"/>
  <c r="D186" i="19"/>
  <c r="E186" i="19" s="1"/>
  <c r="F186" i="19" s="1"/>
  <c r="D76" i="19"/>
  <c r="E76" i="19" s="1"/>
  <c r="F76" i="19" s="1"/>
  <c r="G76" i="19" s="1"/>
  <c r="F123" i="19"/>
  <c r="D113" i="19"/>
  <c r="E113" i="19" s="1"/>
  <c r="E139" i="19"/>
  <c r="F139" i="19" s="1"/>
  <c r="D208" i="19"/>
  <c r="E208" i="19" s="1"/>
  <c r="F208" i="19" s="1"/>
  <c r="G208" i="19" s="1"/>
  <c r="D112" i="19"/>
  <c r="E112" i="19" s="1"/>
  <c r="F112" i="19" s="1"/>
  <c r="G112" i="19" s="1"/>
  <c r="D210" i="19"/>
  <c r="E210" i="19" s="1"/>
  <c r="D211" i="19"/>
  <c r="D212" i="19"/>
  <c r="E212" i="19" s="1"/>
  <c r="D114" i="19"/>
  <c r="E114" i="19" s="1"/>
  <c r="F114" i="19" s="1"/>
  <c r="D51" i="19"/>
  <c r="E51" i="19" s="1"/>
  <c r="D52" i="19"/>
  <c r="D53" i="19"/>
  <c r="E53" i="19" s="1"/>
  <c r="D57" i="19"/>
  <c r="E57" i="19" s="1"/>
  <c r="D55" i="19"/>
  <c r="E55" i="19" s="1"/>
  <c r="F55" i="19" s="1"/>
  <c r="G55" i="19" s="1"/>
  <c r="D54" i="19"/>
  <c r="E54" i="19" s="1"/>
  <c r="F54" i="19" s="1"/>
  <c r="G54" i="19" s="1"/>
  <c r="D15" i="19"/>
  <c r="E15" i="19" s="1"/>
  <c r="D21" i="19"/>
  <c r="D19" i="19"/>
  <c r="D16" i="19"/>
  <c r="E16" i="19" s="1"/>
  <c r="D20" i="19"/>
  <c r="E20" i="19" s="1"/>
  <c r="D17" i="19"/>
  <c r="D18" i="19"/>
  <c r="E18" i="19" s="1"/>
  <c r="D89" i="19"/>
  <c r="D92" i="19"/>
  <c r="E92" i="19" s="1"/>
  <c r="F92" i="19" s="1"/>
  <c r="D93" i="19"/>
  <c r="E93" i="19" s="1"/>
  <c r="D90" i="19"/>
  <c r="E90" i="19" s="1"/>
  <c r="D88" i="19"/>
  <c r="E88" i="19" s="1"/>
  <c r="D87" i="19"/>
  <c r="D91" i="19"/>
  <c r="D43" i="19"/>
  <c r="E43" i="19" s="1"/>
  <c r="D27" i="19"/>
  <c r="E27" i="19" s="1"/>
  <c r="D30" i="19"/>
  <c r="E30" i="19" s="1"/>
  <c r="F79" i="19"/>
  <c r="G79" i="19" s="1"/>
  <c r="D99" i="19"/>
  <c r="E99" i="19" s="1"/>
  <c r="D102" i="19"/>
  <c r="D103" i="19"/>
  <c r="D104" i="19"/>
  <c r="D105" i="19"/>
  <c r="D101" i="19"/>
  <c r="E101" i="19" s="1"/>
  <c r="F101" i="19" s="1"/>
  <c r="D100" i="19"/>
  <c r="E100" i="19" s="1"/>
  <c r="D33" i="19"/>
  <c r="E33" i="19" s="1"/>
  <c r="D32" i="19"/>
  <c r="E32" i="19" s="1"/>
  <c r="D31" i="19"/>
  <c r="D28" i="19"/>
  <c r="E28" i="19" s="1"/>
  <c r="F28" i="19" s="1"/>
  <c r="G28" i="19" s="1"/>
  <c r="D44" i="19"/>
  <c r="E44" i="19" s="1"/>
  <c r="E68" i="19"/>
  <c r="D29" i="19"/>
  <c r="F5" i="19"/>
  <c r="D4" i="19"/>
  <c r="D197" i="19"/>
  <c r="D198" i="19"/>
  <c r="D201" i="19"/>
  <c r="D200" i="19"/>
  <c r="D199" i="19"/>
  <c r="D196" i="19"/>
  <c r="E196" i="19" s="1"/>
  <c r="F196" i="19" s="1"/>
  <c r="G196" i="19" s="1"/>
  <c r="D195" i="19"/>
  <c r="D7" i="19"/>
  <c r="E125" i="19"/>
  <c r="F125" i="19" s="1"/>
  <c r="D45" i="19"/>
  <c r="D40" i="19"/>
  <c r="D41" i="19"/>
  <c r="D39" i="19"/>
  <c r="E39" i="19" s="1"/>
  <c r="D8" i="19"/>
  <c r="E8" i="19" s="1"/>
  <c r="D9" i="19"/>
  <c r="E9" i="19" s="1"/>
  <c r="F9" i="19" s="1"/>
  <c r="F56" i="19"/>
  <c r="D3" i="19"/>
  <c r="D6" i="19"/>
  <c r="D42" i="19"/>
  <c r="E42" i="19" s="1"/>
  <c r="D150" i="19"/>
  <c r="D147" i="19"/>
  <c r="E147" i="19" s="1"/>
  <c r="D151" i="19"/>
  <c r="E151" i="19" s="1"/>
  <c r="F151" i="19" s="1"/>
  <c r="G151" i="19" s="1"/>
  <c r="D149" i="19"/>
  <c r="E149" i="19" s="1"/>
  <c r="D148" i="19"/>
  <c r="D152" i="19"/>
  <c r="D153" i="19"/>
  <c r="E153" i="19" s="1"/>
  <c r="D77" i="19"/>
  <c r="E77" i="19" s="1"/>
  <c r="D78" i="19"/>
  <c r="D81" i="19"/>
  <c r="E140" i="19"/>
  <c r="E189" i="19"/>
  <c r="F189" i="19" s="1"/>
  <c r="D65" i="19"/>
  <c r="D75" i="19"/>
  <c r="D80" i="19"/>
  <c r="E117" i="19"/>
  <c r="D124" i="19"/>
  <c r="E124" i="19" s="1"/>
  <c r="E129" i="19"/>
  <c r="E128" i="19"/>
  <c r="F128" i="19" s="1"/>
  <c r="D126" i="19"/>
  <c r="E126" i="19" s="1"/>
  <c r="E188" i="19"/>
  <c r="F188" i="19" s="1"/>
  <c r="G188" i="19" s="1"/>
  <c r="G141" i="19"/>
  <c r="H141" i="19" s="1"/>
  <c r="I141" i="19" s="1"/>
  <c r="J141" i="19" s="1"/>
  <c r="K141" i="19" s="1"/>
  <c r="L141" i="19" s="1"/>
  <c r="M141" i="19" s="1"/>
  <c r="E136" i="19"/>
  <c r="F136" i="19" s="1"/>
  <c r="G136" i="19" s="1"/>
  <c r="D137" i="19"/>
  <c r="E137" i="19" s="1"/>
  <c r="D115" i="19"/>
  <c r="D116" i="19"/>
  <c r="F219" i="19"/>
  <c r="E221" i="19"/>
  <c r="F221" i="19" s="1"/>
  <c r="D231" i="19"/>
  <c r="E234" i="19"/>
  <c r="F235" i="19"/>
  <c r="G235" i="19" s="1"/>
  <c r="D185" i="19"/>
  <c r="D233" i="19"/>
  <c r="E233" i="19" s="1"/>
  <c r="E172" i="19"/>
  <c r="F172" i="19" s="1"/>
  <c r="G172" i="19" s="1"/>
  <c r="E220" i="19"/>
  <c r="F220" i="19" s="1"/>
  <c r="G220" i="19" s="1"/>
  <c r="D159" i="19"/>
  <c r="F165" i="19"/>
  <c r="D175" i="19"/>
  <c r="E175" i="19" s="1"/>
  <c r="D176" i="19"/>
  <c r="D177" i="19"/>
  <c r="E177" i="19" s="1"/>
  <c r="D184" i="19"/>
  <c r="E184" i="19" s="1"/>
  <c r="D207" i="19"/>
  <c r="F213" i="19"/>
  <c r="G213" i="19" s="1"/>
  <c r="D223" i="19"/>
  <c r="D224" i="19"/>
  <c r="E224" i="19" s="1"/>
  <c r="D225" i="19"/>
  <c r="D232" i="19"/>
  <c r="E232" i="19" s="1"/>
  <c r="D161" i="19"/>
  <c r="D174" i="19"/>
  <c r="D209" i="19"/>
  <c r="D222" i="19"/>
  <c r="AD33" i="24" l="1"/>
  <c r="D461" i="13"/>
  <c r="D341" i="13"/>
  <c r="D560" i="13"/>
  <c r="D260" i="13"/>
  <c r="D399" i="13"/>
  <c r="D499" i="13"/>
  <c r="D359" i="13"/>
  <c r="D439" i="13"/>
  <c r="D358" i="13"/>
  <c r="D357" i="13"/>
  <c r="D438" i="13"/>
  <c r="D336" i="13"/>
  <c r="D376" i="13"/>
  <c r="D316" i="13"/>
  <c r="D295" i="13"/>
  <c r="D535" i="13"/>
  <c r="D415" i="13"/>
  <c r="D594" i="13"/>
  <c r="D573" i="13"/>
  <c r="D293" i="13"/>
  <c r="D352" i="13"/>
  <c r="D572" i="13"/>
  <c r="D291" i="13"/>
  <c r="D491" i="13"/>
  <c r="D531" i="13"/>
  <c r="D470" i="13"/>
  <c r="D290" i="13"/>
  <c r="D589" i="13"/>
  <c r="D549" i="13"/>
  <c r="D368" i="13"/>
  <c r="D528" i="13"/>
  <c r="D328" i="13"/>
  <c r="D587" i="13"/>
  <c r="D327" i="13"/>
  <c r="D526" i="13"/>
  <c r="D546" i="13"/>
  <c r="D426" i="13"/>
  <c r="D505" i="13"/>
  <c r="D365" i="13"/>
  <c r="D524" i="13"/>
  <c r="D484" i="13"/>
  <c r="D403" i="13"/>
  <c r="D523" i="13"/>
  <c r="D343" i="13"/>
  <c r="D482" i="13"/>
  <c r="D281" i="13"/>
  <c r="D261" i="13"/>
  <c r="D400" i="13"/>
  <c r="D280" i="13"/>
  <c r="D440" i="13"/>
  <c r="D519" i="13"/>
  <c r="D258" i="13"/>
  <c r="D278" i="13"/>
  <c r="D578" i="13"/>
  <c r="D397" i="13"/>
  <c r="D457" i="13"/>
  <c r="D437" i="13"/>
  <c r="D256" i="13"/>
  <c r="D396" i="13"/>
  <c r="D255" i="13"/>
  <c r="D274" i="13"/>
  <c r="D574" i="13"/>
  <c r="D553" i="13"/>
  <c r="D313" i="13"/>
  <c r="D533" i="13"/>
  <c r="D252" i="13"/>
  <c r="D492" i="13"/>
  <c r="D471" i="13"/>
  <c r="D551" i="13"/>
  <c r="D490" i="13"/>
  <c r="D390" i="13"/>
  <c r="D590" i="13"/>
  <c r="D309" i="13"/>
  <c r="D348" i="13"/>
  <c r="D548" i="13"/>
  <c r="D248" i="13"/>
  <c r="D347" i="13"/>
  <c r="D247" i="13"/>
  <c r="D306" i="13"/>
  <c r="D246" i="13"/>
  <c r="D406" i="13"/>
  <c r="D485" i="13"/>
  <c r="D545" i="13"/>
  <c r="D384" i="13"/>
  <c r="D464" i="13"/>
  <c r="D243" i="13"/>
  <c r="D443" i="13"/>
  <c r="D483" i="13"/>
  <c r="D282" i="13"/>
  <c r="D322" i="13"/>
  <c r="A30" i="24"/>
  <c r="A628" i="13"/>
  <c r="D361" i="13"/>
  <c r="D561" i="13"/>
  <c r="D580" i="13"/>
  <c r="D340" i="13"/>
  <c r="D420" i="13"/>
  <c r="D299" i="13"/>
  <c r="D419" i="13"/>
  <c r="D498" i="13"/>
  <c r="D558" i="13"/>
  <c r="D537" i="13"/>
  <c r="D297" i="13"/>
  <c r="D576" i="13"/>
  <c r="D335" i="13"/>
  <c r="D555" i="13"/>
  <c r="D436" i="13"/>
  <c r="D494" i="13"/>
  <c r="D374" i="13"/>
  <c r="D373" i="13"/>
  <c r="D393" i="13"/>
  <c r="D473" i="13"/>
  <c r="D452" i="13"/>
  <c r="D532" i="13"/>
  <c r="D391" i="13"/>
  <c r="D271" i="13"/>
  <c r="D250" i="13"/>
  <c r="D431" i="13"/>
  <c r="D370" i="13"/>
  <c r="D469" i="13"/>
  <c r="D430" i="13"/>
  <c r="D588" i="13"/>
  <c r="D287" i="13"/>
  <c r="D408" i="13"/>
  <c r="D507" i="13"/>
  <c r="D386" i="13"/>
  <c r="D326" i="13"/>
  <c r="D585" i="13"/>
  <c r="D425" i="13"/>
  <c r="D264" i="13"/>
  <c r="D584" i="13"/>
  <c r="D283" i="13"/>
  <c r="D503" i="13"/>
  <c r="D463" i="13"/>
  <c r="D422" i="13"/>
  <c r="D442" i="13"/>
  <c r="D321" i="13"/>
  <c r="D521" i="13"/>
  <c r="D460" i="13"/>
  <c r="D421" i="13"/>
  <c r="D279" i="13"/>
  <c r="D319" i="13"/>
  <c r="D518" i="13"/>
  <c r="D458" i="13"/>
  <c r="D598" i="13"/>
  <c r="D497" i="13"/>
  <c r="D418" i="13"/>
  <c r="D536" i="13"/>
  <c r="D356" i="13"/>
  <c r="D416" i="13"/>
  <c r="D595" i="13"/>
  <c r="D515" i="13"/>
  <c r="D534" i="13"/>
  <c r="D394" i="13"/>
  <c r="D434" i="13"/>
  <c r="D273" i="13"/>
  <c r="D332" i="13"/>
  <c r="D272" i="13"/>
  <c r="D472" i="13"/>
  <c r="D571" i="13"/>
  <c r="D591" i="13"/>
  <c r="D570" i="13"/>
  <c r="D270" i="13"/>
  <c r="D330" i="13"/>
  <c r="D269" i="13"/>
  <c r="D489" i="13"/>
  <c r="D488" i="13"/>
  <c r="D288" i="13"/>
  <c r="D567" i="13"/>
  <c r="D447" i="13"/>
  <c r="D467" i="13"/>
  <c r="D586" i="13"/>
  <c r="D366" i="13"/>
  <c r="D345" i="13"/>
  <c r="D285" i="13"/>
  <c r="D385" i="13"/>
  <c r="D304" i="13"/>
  <c r="D284" i="13"/>
  <c r="D383" i="13"/>
  <c r="D263" i="13"/>
  <c r="D562" i="13"/>
  <c r="D522" i="13"/>
  <c r="D262" i="13"/>
  <c r="D401" i="13"/>
  <c r="D381" i="13"/>
  <c r="D360" i="13"/>
  <c r="D480" i="13"/>
  <c r="D380" i="13"/>
  <c r="D599" i="13"/>
  <c r="D579" i="13"/>
  <c r="D398" i="13"/>
  <c r="D257" i="13"/>
  <c r="D317" i="13"/>
  <c r="D477" i="13"/>
  <c r="D596" i="13"/>
  <c r="D276" i="13"/>
  <c r="D395" i="13"/>
  <c r="D355" i="13"/>
  <c r="D495" i="13"/>
  <c r="D294" i="13"/>
  <c r="D514" i="13"/>
  <c r="D493" i="13"/>
  <c r="D453" i="13"/>
  <c r="D392" i="13"/>
  <c r="D372" i="13"/>
  <c r="D331" i="13"/>
  <c r="D451" i="13"/>
  <c r="D530" i="13"/>
  <c r="D450" i="13"/>
  <c r="D249" i="13"/>
  <c r="D569" i="13"/>
  <c r="D289" i="13"/>
  <c r="D429" i="13"/>
  <c r="D468" i="13"/>
  <c r="D267" i="13"/>
  <c r="D527" i="13"/>
  <c r="D367" i="13"/>
  <c r="D466" i="13"/>
  <c r="D506" i="13"/>
  <c r="D325" i="13"/>
  <c r="D245" i="13"/>
  <c r="D405" i="13"/>
  <c r="D344" i="13"/>
  <c r="D544" i="13"/>
  <c r="D563" i="13"/>
  <c r="D402" i="13"/>
  <c r="D362" i="13"/>
  <c r="D462" i="13"/>
  <c r="D597" i="13"/>
  <c r="D277" i="13"/>
  <c r="D496" i="13"/>
  <c r="D476" i="13"/>
  <c r="D275" i="13"/>
  <c r="D575" i="13"/>
  <c r="D334" i="13"/>
  <c r="D554" i="13"/>
  <c r="D435" i="13"/>
  <c r="D593" i="13"/>
  <c r="D353" i="13"/>
  <c r="D312" i="13"/>
  <c r="D552" i="13"/>
  <c r="D292" i="13"/>
  <c r="D511" i="13"/>
  <c r="D432" i="13"/>
  <c r="D350" i="13"/>
  <c r="D310" i="13"/>
  <c r="D449" i="13"/>
  <c r="D369" i="13"/>
  <c r="D529" i="13"/>
  <c r="D568" i="13"/>
  <c r="D508" i="13"/>
  <c r="D428" i="13"/>
  <c r="D307" i="13"/>
  <c r="D407" i="13"/>
  <c r="D427" i="13"/>
  <c r="D486" i="13"/>
  <c r="D465" i="13"/>
  <c r="D265" i="13"/>
  <c r="D244" i="13"/>
  <c r="D504" i="13"/>
  <c r="D404" i="13"/>
  <c r="D323" i="13"/>
  <c r="D543" i="13"/>
  <c r="D242" i="13"/>
  <c r="D502" i="13"/>
  <c r="D302" i="13"/>
  <c r="D601" i="13"/>
  <c r="D501" i="13"/>
  <c r="D600" i="13"/>
  <c r="D300" i="13"/>
  <c r="D500" i="13"/>
  <c r="D539" i="13"/>
  <c r="D259" i="13"/>
  <c r="D378" i="13"/>
  <c r="D338" i="13"/>
  <c r="D301" i="13"/>
  <c r="D581" i="13"/>
  <c r="D320" i="13"/>
  <c r="D441" i="13"/>
  <c r="D559" i="13"/>
  <c r="D479" i="13"/>
  <c r="D318" i="13"/>
  <c r="D538" i="13"/>
  <c r="D577" i="13"/>
  <c r="D377" i="13"/>
  <c r="D517" i="13"/>
  <c r="D556" i="13"/>
  <c r="D417" i="13"/>
  <c r="D375" i="13"/>
  <c r="D455" i="13"/>
  <c r="D314" i="13"/>
  <c r="D474" i="13"/>
  <c r="D513" i="13"/>
  <c r="D253" i="13"/>
  <c r="D592" i="13"/>
  <c r="D512" i="13"/>
  <c r="D412" i="13"/>
  <c r="D371" i="13"/>
  <c r="D251" i="13"/>
  <c r="D411" i="13"/>
  <c r="D550" i="13"/>
  <c r="D349" i="13"/>
  <c r="D410" i="13"/>
  <c r="D329" i="13"/>
  <c r="D409" i="13"/>
  <c r="D268" i="13"/>
  <c r="D487" i="13"/>
  <c r="D387" i="13"/>
  <c r="D286" i="13"/>
  <c r="D346" i="13"/>
  <c r="D305" i="13"/>
  <c r="D525" i="13"/>
  <c r="D324" i="13"/>
  <c r="D564" i="13"/>
  <c r="D423" i="13"/>
  <c r="D363" i="13"/>
  <c r="D542" i="13"/>
  <c r="D342" i="13"/>
  <c r="D481" i="13"/>
  <c r="D541" i="13"/>
  <c r="D520" i="13"/>
  <c r="D540" i="13"/>
  <c r="D379" i="13"/>
  <c r="D339" i="13"/>
  <c r="D459" i="13"/>
  <c r="D298" i="13"/>
  <c r="D478" i="13"/>
  <c r="D557" i="13"/>
  <c r="D337" i="13"/>
  <c r="D516" i="13"/>
  <c r="D456" i="13"/>
  <c r="D296" i="13"/>
  <c r="D315" i="13"/>
  <c r="D475" i="13"/>
  <c r="D354" i="13"/>
  <c r="D254" i="13"/>
  <c r="D454" i="13"/>
  <c r="D333" i="13"/>
  <c r="D414" i="13"/>
  <c r="D433" i="13"/>
  <c r="D413" i="13"/>
  <c r="D351" i="13"/>
  <c r="D311" i="13"/>
  <c r="D510" i="13"/>
  <c r="D509" i="13"/>
  <c r="D389" i="13"/>
  <c r="D308" i="13"/>
  <c r="D448" i="13"/>
  <c r="D388" i="13"/>
  <c r="D547" i="13"/>
  <c r="D566" i="13"/>
  <c r="D266" i="13"/>
  <c r="D446" i="13"/>
  <c r="D445" i="13"/>
  <c r="D565" i="13"/>
  <c r="D444" i="13"/>
  <c r="D364" i="13"/>
  <c r="D424" i="13"/>
  <c r="D303" i="13"/>
  <c r="D583" i="13"/>
  <c r="D382" i="13"/>
  <c r="D582" i="13"/>
  <c r="AE37" i="24"/>
  <c r="AF33" i="24"/>
  <c r="AF40" i="24"/>
  <c r="AF38" i="24"/>
  <c r="AF39" i="24"/>
  <c r="AF37" i="24"/>
  <c r="AF36" i="24"/>
  <c r="AF35" i="24"/>
  <c r="Y40" i="24"/>
  <c r="AE36" i="24"/>
  <c r="AE35" i="24"/>
  <c r="Y37" i="24"/>
  <c r="AE39" i="24"/>
  <c r="Y36" i="24"/>
  <c r="AE34" i="24"/>
  <c r="AE33" i="24"/>
  <c r="AE44" i="13"/>
  <c r="AE30" i="13"/>
  <c r="AE24" i="13"/>
  <c r="AE28" i="13"/>
  <c r="AE22" i="13"/>
  <c r="AE27" i="13"/>
  <c r="AE23" i="13"/>
  <c r="AE26" i="13"/>
  <c r="AE40" i="24"/>
  <c r="AC35" i="24"/>
  <c r="AA33" i="24"/>
  <c r="AA37" i="24"/>
  <c r="AA35" i="24"/>
  <c r="AA38" i="24"/>
  <c r="AA34" i="24"/>
  <c r="AA40" i="24"/>
  <c r="AA36" i="24"/>
  <c r="Z40" i="24"/>
  <c r="Z36" i="24"/>
  <c r="AD37" i="24"/>
  <c r="AD35" i="24"/>
  <c r="AB37" i="24"/>
  <c r="Z39" i="24"/>
  <c r="Z38" i="24"/>
  <c r="Z37" i="24"/>
  <c r="Z35" i="24"/>
  <c r="Z34" i="24"/>
  <c r="AC40" i="24"/>
  <c r="AC39" i="24"/>
  <c r="AC38" i="24"/>
  <c r="AC37" i="24"/>
  <c r="AB36" i="24"/>
  <c r="AD34" i="24"/>
  <c r="AD40" i="24"/>
  <c r="AD39" i="24"/>
  <c r="AB40" i="24"/>
  <c r="Y39" i="24"/>
  <c r="AB38" i="24"/>
  <c r="AC36" i="24"/>
  <c r="AB35" i="24"/>
  <c r="Y38" i="24"/>
  <c r="Y34" i="24"/>
  <c r="AB34" i="24"/>
  <c r="AC34" i="24"/>
  <c r="W41" i="24"/>
  <c r="W42" i="24" s="1"/>
  <c r="Y35" i="24"/>
  <c r="AB39" i="24"/>
  <c r="AF23" i="24"/>
  <c r="AC23" i="24"/>
  <c r="AB23" i="24"/>
  <c r="AA23" i="24"/>
  <c r="Z23" i="24"/>
  <c r="AE23" i="24"/>
  <c r="AD23" i="24"/>
  <c r="Y23" i="24"/>
  <c r="A217" i="19"/>
  <c r="O220" i="19" s="1"/>
  <c r="A145" i="19"/>
  <c r="O148" i="19" s="1"/>
  <c r="O230" i="19"/>
  <c r="O229" i="19" s="1"/>
  <c r="A97" i="19"/>
  <c r="O98" i="19" s="1"/>
  <c r="O97" i="19" s="1"/>
  <c r="F107" i="19" s="1"/>
  <c r="F63" i="19"/>
  <c r="A37" i="19"/>
  <c r="O40" i="19" s="1"/>
  <c r="A49" i="19"/>
  <c r="A169" i="19"/>
  <c r="A121" i="19"/>
  <c r="A61" i="19"/>
  <c r="O62" i="19" s="1"/>
  <c r="O61" i="19" s="1"/>
  <c r="A193" i="19"/>
  <c r="A73" i="19"/>
  <c r="A205" i="19"/>
  <c r="O208" i="19" s="1"/>
  <c r="A85" i="19"/>
  <c r="A109" i="19"/>
  <c r="O112" i="19" s="1"/>
  <c r="F138" i="19"/>
  <c r="G138" i="19" s="1"/>
  <c r="H138" i="19" s="1"/>
  <c r="A25" i="19"/>
  <c r="O26" i="19" s="1"/>
  <c r="O25" i="19" s="1"/>
  <c r="A181" i="19"/>
  <c r="O182" i="19" s="1"/>
  <c r="O181" i="19" s="1"/>
  <c r="F135" i="19"/>
  <c r="O38" i="19"/>
  <c r="O37" i="19" s="1"/>
  <c r="A157" i="19"/>
  <c r="A133" i="19"/>
  <c r="O134" i="19" s="1"/>
  <c r="O133" i="19" s="1"/>
  <c r="D143" i="19" s="1"/>
  <c r="F163" i="19"/>
  <c r="G163" i="19" s="1"/>
  <c r="H163" i="19" s="1"/>
  <c r="F236" i="19"/>
  <c r="G236" i="19" s="1"/>
  <c r="F66" i="19"/>
  <c r="G66" i="19" s="1"/>
  <c r="H66" i="19" s="1"/>
  <c r="I66" i="19" s="1"/>
  <c r="G139" i="19"/>
  <c r="H139" i="19" s="1"/>
  <c r="F164" i="19"/>
  <c r="G164" i="19" s="1"/>
  <c r="D23" i="19"/>
  <c r="E23" i="19" s="1"/>
  <c r="F23" i="19" s="1"/>
  <c r="G23" i="19" s="1"/>
  <c r="H23" i="19" s="1"/>
  <c r="I23" i="19" s="1"/>
  <c r="J23" i="19" s="1"/>
  <c r="G69" i="19"/>
  <c r="H69" i="19" s="1"/>
  <c r="L22" i="19"/>
  <c r="H22" i="19"/>
  <c r="K22" i="19"/>
  <c r="J22" i="19"/>
  <c r="M22" i="19"/>
  <c r="I22" i="19"/>
  <c r="E22" i="19"/>
  <c r="E211" i="19"/>
  <c r="F211" i="19" s="1"/>
  <c r="F44" i="19"/>
  <c r="F88" i="19"/>
  <c r="G88" i="19" s="1"/>
  <c r="F90" i="19"/>
  <c r="G90" i="19" s="1"/>
  <c r="F99" i="19"/>
  <c r="F113" i="19"/>
  <c r="G113" i="19" s="1"/>
  <c r="F100" i="19"/>
  <c r="G100" i="19" s="1"/>
  <c r="F43" i="19"/>
  <c r="G43" i="19" s="1"/>
  <c r="G221" i="19"/>
  <c r="H221" i="19" s="1"/>
  <c r="E150" i="19"/>
  <c r="F150" i="19" s="1"/>
  <c r="F53" i="19"/>
  <c r="G53" i="19" s="1"/>
  <c r="H53" i="19" s="1"/>
  <c r="G237" i="19"/>
  <c r="H237" i="19" s="1"/>
  <c r="I237" i="19" s="1"/>
  <c r="J237" i="19" s="1"/>
  <c r="K237" i="19" s="1"/>
  <c r="L237" i="19" s="1"/>
  <c r="M237" i="19" s="1"/>
  <c r="F233" i="19"/>
  <c r="G233" i="19" s="1"/>
  <c r="F93" i="19"/>
  <c r="G93" i="19" s="1"/>
  <c r="H93" i="19" s="1"/>
  <c r="G92" i="19"/>
  <c r="H92" i="19" s="1"/>
  <c r="F57" i="19"/>
  <c r="E52" i="19"/>
  <c r="F52" i="19" s="1"/>
  <c r="G52" i="19" s="1"/>
  <c r="H54" i="19"/>
  <c r="I54" i="19" s="1"/>
  <c r="F51" i="19"/>
  <c r="F27" i="19"/>
  <c r="E29" i="19"/>
  <c r="F29" i="19" s="1"/>
  <c r="F32" i="19"/>
  <c r="G32" i="19" s="1"/>
  <c r="E4" i="19"/>
  <c r="F4" i="19" s="1"/>
  <c r="G4" i="19" s="1"/>
  <c r="F8" i="19"/>
  <c r="G8" i="19" s="1"/>
  <c r="G5" i="19"/>
  <c r="H5" i="19" s="1"/>
  <c r="E209" i="19"/>
  <c r="F209" i="19" s="1"/>
  <c r="G125" i="19"/>
  <c r="H125" i="19" s="1"/>
  <c r="E201" i="19"/>
  <c r="F201" i="19" s="1"/>
  <c r="G201" i="19" s="1"/>
  <c r="G101" i="19"/>
  <c r="H101" i="19" s="1"/>
  <c r="E87" i="19"/>
  <c r="F87" i="19" s="1"/>
  <c r="E225" i="19"/>
  <c r="G189" i="19"/>
  <c r="H151" i="19"/>
  <c r="I151" i="19" s="1"/>
  <c r="J151" i="19" s="1"/>
  <c r="F39" i="19"/>
  <c r="F18" i="19"/>
  <c r="E185" i="19"/>
  <c r="E81" i="19"/>
  <c r="F81" i="19" s="1"/>
  <c r="E207" i="19"/>
  <c r="F207" i="19" s="1"/>
  <c r="F140" i="19"/>
  <c r="G140" i="19" s="1"/>
  <c r="E89" i="19"/>
  <c r="E21" i="19"/>
  <c r="F21" i="19" s="1"/>
  <c r="G21" i="19" s="1"/>
  <c r="H21" i="19" s="1"/>
  <c r="E223" i="19"/>
  <c r="F223" i="19" s="1"/>
  <c r="G223" i="19" s="1"/>
  <c r="H235" i="19"/>
  <c r="E45" i="19"/>
  <c r="F45" i="19" s="1"/>
  <c r="E195" i="19"/>
  <c r="F195" i="19" s="1"/>
  <c r="E105" i="19"/>
  <c r="F105" i="19" s="1"/>
  <c r="G105" i="19" s="1"/>
  <c r="F162" i="19"/>
  <c r="H213" i="19"/>
  <c r="I213" i="19" s="1"/>
  <c r="J213" i="19" s="1"/>
  <c r="K213" i="19" s="1"/>
  <c r="L213" i="19" s="1"/>
  <c r="M213" i="19" s="1"/>
  <c r="F173" i="19"/>
  <c r="G173" i="19" s="1"/>
  <c r="H79" i="19"/>
  <c r="F184" i="19"/>
  <c r="G184" i="19" s="1"/>
  <c r="E161" i="19"/>
  <c r="F161" i="19" s="1"/>
  <c r="E65" i="19"/>
  <c r="E148" i="19"/>
  <c r="F148" i="19" s="1"/>
  <c r="G148" i="19" s="1"/>
  <c r="E31" i="19"/>
  <c r="F30" i="19"/>
  <c r="E176" i="19"/>
  <c r="F176" i="19" s="1"/>
  <c r="F212" i="19"/>
  <c r="G212" i="19" s="1"/>
  <c r="H212" i="19" s="1"/>
  <c r="F177" i="19"/>
  <c r="G177" i="19" s="1"/>
  <c r="E159" i="19"/>
  <c r="F159" i="19" s="1"/>
  <c r="F234" i="19"/>
  <c r="G234" i="19" s="1"/>
  <c r="H188" i="19"/>
  <c r="I188" i="19" s="1"/>
  <c r="J188" i="19" s="1"/>
  <c r="K188" i="19" s="1"/>
  <c r="F124" i="19"/>
  <c r="G124" i="19" s="1"/>
  <c r="E78" i="19"/>
  <c r="F153" i="19"/>
  <c r="G153" i="19" s="1"/>
  <c r="H153" i="19" s="1"/>
  <c r="E7" i="19"/>
  <c r="F7" i="19" s="1"/>
  <c r="E41" i="19"/>
  <c r="F41" i="19" s="1"/>
  <c r="E198" i="19"/>
  <c r="E199" i="19"/>
  <c r="H55" i="19"/>
  <c r="I55" i="19" s="1"/>
  <c r="J55" i="19" s="1"/>
  <c r="F33" i="19"/>
  <c r="G33" i="19" s="1"/>
  <c r="E103" i="19"/>
  <c r="F103" i="19" s="1"/>
  <c r="F20" i="19"/>
  <c r="F126" i="19"/>
  <c r="E80" i="19"/>
  <c r="F80" i="19" s="1"/>
  <c r="F68" i="19"/>
  <c r="G68" i="19" s="1"/>
  <c r="H68" i="19" s="1"/>
  <c r="E6" i="19"/>
  <c r="E200" i="19"/>
  <c r="F200" i="19" s="1"/>
  <c r="E197" i="19"/>
  <c r="E104" i="19"/>
  <c r="E91" i="19"/>
  <c r="E222" i="19"/>
  <c r="E174" i="19"/>
  <c r="F232" i="19"/>
  <c r="G232" i="19" s="1"/>
  <c r="F175" i="19"/>
  <c r="G175" i="19" s="1"/>
  <c r="H175" i="19" s="1"/>
  <c r="G165" i="19"/>
  <c r="F127" i="19"/>
  <c r="G127" i="19" s="1"/>
  <c r="E152" i="19"/>
  <c r="F149" i="19"/>
  <c r="G149" i="19" s="1"/>
  <c r="E3" i="19"/>
  <c r="F3" i="19" s="1"/>
  <c r="G186" i="19"/>
  <c r="G56" i="19"/>
  <c r="H56" i="19" s="1"/>
  <c r="F15" i="19"/>
  <c r="D22" i="19" s="1"/>
  <c r="E17" i="19"/>
  <c r="F17" i="19" s="1"/>
  <c r="G17" i="19" s="1"/>
  <c r="E19" i="19"/>
  <c r="F19" i="19" s="1"/>
  <c r="E231" i="19"/>
  <c r="F231" i="19" s="1"/>
  <c r="F67" i="19"/>
  <c r="G67" i="19" s="1"/>
  <c r="H67" i="19" s="1"/>
  <c r="G128" i="19"/>
  <c r="H128" i="19" s="1"/>
  <c r="I128" i="19" s="1"/>
  <c r="J128" i="19" s="1"/>
  <c r="K128" i="19" s="1"/>
  <c r="E116" i="19"/>
  <c r="F137" i="19"/>
  <c r="G137" i="19" s="1"/>
  <c r="H137" i="19" s="1"/>
  <c r="E40" i="19"/>
  <c r="F40" i="19" s="1"/>
  <c r="G40" i="19" s="1"/>
  <c r="F210" i="19"/>
  <c r="G210" i="19" s="1"/>
  <c r="F224" i="19"/>
  <c r="G224" i="19" s="1"/>
  <c r="E115" i="19"/>
  <c r="F187" i="19"/>
  <c r="F129" i="19"/>
  <c r="E75" i="19"/>
  <c r="F77" i="19"/>
  <c r="G77" i="19" s="1"/>
  <c r="F147" i="19"/>
  <c r="G9" i="19"/>
  <c r="H9" i="19" s="1"/>
  <c r="I9" i="19" s="1"/>
  <c r="J9" i="19" s="1"/>
  <c r="K9" i="19" s="1"/>
  <c r="L9" i="19" s="1"/>
  <c r="M9" i="19" s="1"/>
  <c r="F42" i="19"/>
  <c r="G42" i="19" s="1"/>
  <c r="E102" i="19"/>
  <c r="F102" i="19" s="1"/>
  <c r="G102" i="19" s="1"/>
  <c r="F117" i="19"/>
  <c r="G114" i="19"/>
  <c r="F16" i="19"/>
  <c r="AD55" i="13" l="1"/>
  <c r="AB49" i="13"/>
  <c r="Z61" i="13"/>
  <c r="Z49" i="13"/>
  <c r="X59" i="13"/>
  <c r="Z59" i="13"/>
  <c r="X62" i="13"/>
  <c r="AB50" i="13"/>
  <c r="Z47" i="13"/>
  <c r="Y46" i="13"/>
  <c r="AD53" i="13"/>
  <c r="AB56" i="13"/>
  <c r="AA58" i="13"/>
  <c r="AB61" i="13"/>
  <c r="AD49" i="13"/>
  <c r="V57" i="13"/>
  <c r="X45" i="13"/>
  <c r="AB48" i="13"/>
  <c r="AB51" i="13"/>
  <c r="AC52" i="13"/>
  <c r="AC53" i="13"/>
  <c r="Z53" i="13"/>
  <c r="AC64" i="13"/>
  <c r="AB54" i="13"/>
  <c r="AD58" i="13"/>
  <c r="AA55" i="13"/>
  <c r="AA59" i="13"/>
  <c r="AB53" i="13"/>
  <c r="AB58" i="13"/>
  <c r="AB47" i="13"/>
  <c r="AC61" i="13"/>
  <c r="V56" i="13"/>
  <c r="AD45" i="13"/>
  <c r="Z60" i="13"/>
  <c r="Z51" i="13"/>
  <c r="AB52" i="13"/>
  <c r="AC49" i="13"/>
  <c r="X50" i="13"/>
  <c r="Y51" i="13"/>
  <c r="Y59" i="13"/>
  <c r="AB62" i="13"/>
  <c r="AD50" i="13"/>
  <c r="X64" i="13"/>
  <c r="X46" i="13"/>
  <c r="AD52" i="13"/>
  <c r="V63" i="13"/>
  <c r="AE25" i="13"/>
  <c r="AE29" i="13" s="1"/>
  <c r="AE45" i="13"/>
  <c r="AE49" i="13"/>
  <c r="AE53" i="13"/>
  <c r="AE57" i="13"/>
  <c r="AE61" i="13"/>
  <c r="AE60" i="13"/>
  <c r="AE64" i="13"/>
  <c r="AE46" i="13"/>
  <c r="AE50" i="13"/>
  <c r="AE54" i="13"/>
  <c r="AE58" i="13"/>
  <c r="AE62" i="13"/>
  <c r="AE47" i="13"/>
  <c r="AE55" i="13"/>
  <c r="AE59" i="13"/>
  <c r="AE48" i="13"/>
  <c r="AE56" i="13"/>
  <c r="AE51" i="13"/>
  <c r="AE63" i="13"/>
  <c r="AE52" i="13"/>
  <c r="V54" i="13"/>
  <c r="AB45" i="13"/>
  <c r="AB46" i="13"/>
  <c r="Y63" i="13"/>
  <c r="Y58" i="13"/>
  <c r="Y60" i="13"/>
  <c r="X55" i="13"/>
  <c r="X56" i="13"/>
  <c r="AC62" i="13"/>
  <c r="AD48" i="13"/>
  <c r="AD46" i="13"/>
  <c r="V46" i="13"/>
  <c r="V50" i="13"/>
  <c r="Z57" i="13"/>
  <c r="Z50" i="13"/>
  <c r="AA53" i="13"/>
  <c r="AA62" i="13"/>
  <c r="Y64" i="13"/>
  <c r="AA57" i="13"/>
  <c r="AB64" i="13"/>
  <c r="AB57" i="13"/>
  <c r="AB25" i="13"/>
  <c r="AB29" i="13" s="1"/>
  <c r="Y25" i="13"/>
  <c r="Y29" i="13" s="1"/>
  <c r="X25" i="13"/>
  <c r="X29" i="13" s="1"/>
  <c r="AC25" i="13"/>
  <c r="AC29" i="13" s="1"/>
  <c r="AD25" i="13"/>
  <c r="AD29" i="13" s="1"/>
  <c r="V45" i="13"/>
  <c r="Z25" i="13"/>
  <c r="Z29" i="13" s="1"/>
  <c r="AA25" i="13"/>
  <c r="AA29" i="13" s="1"/>
  <c r="V52" i="13"/>
  <c r="Y55" i="13"/>
  <c r="Y61" i="13"/>
  <c r="Y56" i="13"/>
  <c r="X51" i="13"/>
  <c r="X52" i="13"/>
  <c r="AC57" i="13"/>
  <c r="AC63" i="13"/>
  <c r="AC58" i="13"/>
  <c r="AD63" i="13"/>
  <c r="AD64" i="13"/>
  <c r="V64" i="13"/>
  <c r="Z46" i="13"/>
  <c r="V25" i="13"/>
  <c r="V29" i="13" s="1"/>
  <c r="AA49" i="13"/>
  <c r="Z54" i="13"/>
  <c r="AA48" i="13"/>
  <c r="AB60" i="13"/>
  <c r="AB63" i="13"/>
  <c r="Y62" i="13"/>
  <c r="Y57" i="13"/>
  <c r="Y52" i="13"/>
  <c r="X47" i="13"/>
  <c r="X63" i="13"/>
  <c r="AC45" i="13"/>
  <c r="AC59" i="13"/>
  <c r="AC54" i="13"/>
  <c r="V53" i="13"/>
  <c r="AD59" i="13"/>
  <c r="AD56" i="13"/>
  <c r="V51" i="13"/>
  <c r="Z64" i="13"/>
  <c r="AA45" i="13"/>
  <c r="AA63" i="13"/>
  <c r="AB59" i="13"/>
  <c r="Y54" i="13"/>
  <c r="Y53" i="13"/>
  <c r="Y48" i="13"/>
  <c r="X61" i="13"/>
  <c r="AC60" i="13"/>
  <c r="AC55" i="13"/>
  <c r="AC50" i="13"/>
  <c r="AD60" i="13"/>
  <c r="A31" i="24"/>
  <c r="A629" i="13"/>
  <c r="V58" i="13"/>
  <c r="Z63" i="13"/>
  <c r="Z45" i="13"/>
  <c r="X10" i="13"/>
  <c r="AA50" i="13"/>
  <c r="AA64" i="13"/>
  <c r="V62" i="13"/>
  <c r="AB55" i="13"/>
  <c r="V60" i="13"/>
  <c r="Y50" i="13"/>
  <c r="Y49" i="13"/>
  <c r="X58" i="13"/>
  <c r="X57" i="13"/>
  <c r="AC56" i="13"/>
  <c r="AC51" i="13"/>
  <c r="AC46" i="13"/>
  <c r="AD51" i="13"/>
  <c r="AD62" i="13"/>
  <c r="V61" i="13"/>
  <c r="Z55" i="13"/>
  <c r="Z56" i="13"/>
  <c r="V10" i="13"/>
  <c r="AA46" i="13"/>
  <c r="AA60" i="13"/>
  <c r="Y45" i="13"/>
  <c r="X60" i="13"/>
  <c r="X54" i="13"/>
  <c r="X53" i="13"/>
  <c r="AC48" i="13"/>
  <c r="AC47" i="13"/>
  <c r="AD61" i="13"/>
  <c r="AD47" i="13"/>
  <c r="V55" i="13"/>
  <c r="Z52" i="13"/>
  <c r="W10" i="13"/>
  <c r="AA54" i="13"/>
  <c r="AA56" i="13"/>
  <c r="AA51" i="13"/>
  <c r="V47" i="13"/>
  <c r="V48" i="13"/>
  <c r="Y47" i="13"/>
  <c r="X48" i="13"/>
  <c r="X49" i="13"/>
  <c r="AD57" i="13"/>
  <c r="AD54" i="13"/>
  <c r="V49" i="13"/>
  <c r="V59" i="13"/>
  <c r="Z58" i="13"/>
  <c r="Z62" i="13"/>
  <c r="Z48" i="13"/>
  <c r="AA61" i="13"/>
  <c r="AA52" i="13"/>
  <c r="AA47" i="13"/>
  <c r="AF41" i="24"/>
  <c r="AF42" i="24" s="1"/>
  <c r="AE41" i="24"/>
  <c r="AE42" i="24" s="1"/>
  <c r="AA41" i="24"/>
  <c r="AA42" i="24" s="1"/>
  <c r="Z41" i="24"/>
  <c r="Z42" i="24" s="1"/>
  <c r="AD41" i="24"/>
  <c r="AD42" i="24" s="1"/>
  <c r="AC41" i="24"/>
  <c r="AC42" i="24" s="1"/>
  <c r="AB41" i="24"/>
  <c r="AB42" i="24" s="1"/>
  <c r="Y41" i="24"/>
  <c r="Y42" i="24" s="1"/>
  <c r="O100" i="19"/>
  <c r="O218" i="19"/>
  <c r="O217" i="19" s="1"/>
  <c r="J227" i="19" s="1"/>
  <c r="O64" i="19"/>
  <c r="O146" i="19"/>
  <c r="O145" i="19" s="1"/>
  <c r="J155" i="19" s="1"/>
  <c r="J70" i="19"/>
  <c r="D70" i="19"/>
  <c r="F70" i="19"/>
  <c r="G70" i="19"/>
  <c r="F238" i="19"/>
  <c r="K238" i="19"/>
  <c r="D238" i="19"/>
  <c r="L238" i="19"/>
  <c r="H238" i="19"/>
  <c r="M70" i="19"/>
  <c r="J238" i="19"/>
  <c r="H70" i="19"/>
  <c r="E238" i="19"/>
  <c r="L70" i="19"/>
  <c r="G238" i="19"/>
  <c r="K70" i="19"/>
  <c r="I238" i="19"/>
  <c r="D239" i="19"/>
  <c r="E239" i="19" s="1"/>
  <c r="F239" i="19" s="1"/>
  <c r="G239" i="19" s="1"/>
  <c r="I139" i="19"/>
  <c r="J139" i="19" s="1"/>
  <c r="E70" i="19"/>
  <c r="M238" i="19"/>
  <c r="D35" i="19"/>
  <c r="E35" i="19" s="1"/>
  <c r="F35" i="19" s="1"/>
  <c r="G35" i="19" s="1"/>
  <c r="H35" i="19" s="1"/>
  <c r="I35" i="19" s="1"/>
  <c r="J35" i="19" s="1"/>
  <c r="O136" i="19"/>
  <c r="O110" i="19"/>
  <c r="O109" i="19" s="1"/>
  <c r="M119" i="19" s="1"/>
  <c r="I69" i="19"/>
  <c r="J69" i="19" s="1"/>
  <c r="K69" i="19" s="1"/>
  <c r="L69" i="19" s="1"/>
  <c r="M69" i="19" s="1"/>
  <c r="I70" i="19"/>
  <c r="F46" i="19"/>
  <c r="H236" i="19"/>
  <c r="I236" i="19" s="1"/>
  <c r="J236" i="19" s="1"/>
  <c r="K236" i="19" s="1"/>
  <c r="O196" i="19"/>
  <c r="O194" i="19"/>
  <c r="O193" i="19" s="1"/>
  <c r="O124" i="19"/>
  <c r="O122" i="19"/>
  <c r="O121" i="19" s="1"/>
  <c r="D71" i="19"/>
  <c r="E71" i="19" s="1"/>
  <c r="F71" i="19" s="1"/>
  <c r="G71" i="19" s="1"/>
  <c r="H71" i="19" s="1"/>
  <c r="I71" i="19" s="1"/>
  <c r="J71" i="19" s="1"/>
  <c r="L34" i="19"/>
  <c r="O170" i="19"/>
  <c r="O169" i="19" s="1"/>
  <c r="O172" i="19"/>
  <c r="O206" i="19"/>
  <c r="O205" i="19" s="1"/>
  <c r="O52" i="19"/>
  <c r="O50" i="19"/>
  <c r="O49" i="19" s="1"/>
  <c r="H46" i="19"/>
  <c r="E46" i="19"/>
  <c r="G34" i="19"/>
  <c r="K34" i="19"/>
  <c r="H34" i="19"/>
  <c r="J34" i="19"/>
  <c r="D34" i="19"/>
  <c r="O184" i="19"/>
  <c r="O76" i="19"/>
  <c r="O74" i="19"/>
  <c r="O73" i="19" s="1"/>
  <c r="F34" i="19"/>
  <c r="E34" i="19"/>
  <c r="O28" i="19"/>
  <c r="M34" i="19"/>
  <c r="I34" i="19"/>
  <c r="O88" i="19"/>
  <c r="O86" i="19"/>
  <c r="O85" i="19" s="1"/>
  <c r="L46" i="19"/>
  <c r="D46" i="19"/>
  <c r="J46" i="19"/>
  <c r="G46" i="19"/>
  <c r="D47" i="19"/>
  <c r="E47" i="19" s="1"/>
  <c r="F47" i="19" s="1"/>
  <c r="G47" i="19" s="1"/>
  <c r="H47" i="19" s="1"/>
  <c r="I47" i="19" s="1"/>
  <c r="J47" i="19" s="1"/>
  <c r="K46" i="19"/>
  <c r="I46" i="19"/>
  <c r="O160" i="19"/>
  <c r="O158" i="19"/>
  <c r="O157" i="19" s="1"/>
  <c r="M46" i="19"/>
  <c r="M106" i="19"/>
  <c r="H106" i="19"/>
  <c r="I107" i="19"/>
  <c r="K106" i="19"/>
  <c r="G142" i="19"/>
  <c r="I142" i="19"/>
  <c r="D142" i="19"/>
  <c r="D144" i="19" s="1"/>
  <c r="L142" i="19"/>
  <c r="K143" i="19"/>
  <c r="M142" i="19"/>
  <c r="L106" i="19"/>
  <c r="J106" i="19"/>
  <c r="J107" i="19"/>
  <c r="K107" i="19"/>
  <c r="F106" i="19"/>
  <c r="F108" i="19" s="1"/>
  <c r="D107" i="19"/>
  <c r="F143" i="19"/>
  <c r="G106" i="19"/>
  <c r="M107" i="19"/>
  <c r="L107" i="19"/>
  <c r="I106" i="19"/>
  <c r="E107" i="19"/>
  <c r="L143" i="19"/>
  <c r="D106" i="19"/>
  <c r="G107" i="19"/>
  <c r="E143" i="19"/>
  <c r="E106" i="19"/>
  <c r="H107" i="19"/>
  <c r="F142" i="19"/>
  <c r="E142" i="19"/>
  <c r="G143" i="19"/>
  <c r="M143" i="19"/>
  <c r="H143" i="19"/>
  <c r="F191" i="19"/>
  <c r="J190" i="19"/>
  <c r="H191" i="19"/>
  <c r="K190" i="19"/>
  <c r="L191" i="19"/>
  <c r="I190" i="19"/>
  <c r="D191" i="19"/>
  <c r="H190" i="19"/>
  <c r="G191" i="19"/>
  <c r="M190" i="19"/>
  <c r="G190" i="19"/>
  <c r="K191" i="19"/>
  <c r="E190" i="19"/>
  <c r="F190" i="19"/>
  <c r="M191" i="19"/>
  <c r="J191" i="19"/>
  <c r="L190" i="19"/>
  <c r="E191" i="19"/>
  <c r="I191" i="19"/>
  <c r="D190" i="19"/>
  <c r="H164" i="19"/>
  <c r="I164" i="19" s="1"/>
  <c r="J164" i="19" s="1"/>
  <c r="K164" i="19" s="1"/>
  <c r="H142" i="19"/>
  <c r="J143" i="19"/>
  <c r="J142" i="19"/>
  <c r="I143" i="19"/>
  <c r="K142" i="19"/>
  <c r="F22" i="19"/>
  <c r="K23" i="19"/>
  <c r="L23" i="19" s="1"/>
  <c r="D11" i="19"/>
  <c r="E11" i="19" s="1"/>
  <c r="F11" i="19" s="1"/>
  <c r="M10" i="19"/>
  <c r="K10" i="19"/>
  <c r="L10" i="19"/>
  <c r="I10" i="19"/>
  <c r="J10" i="19"/>
  <c r="G10" i="19"/>
  <c r="H10" i="19"/>
  <c r="E10" i="19"/>
  <c r="F10" i="19"/>
  <c r="D24" i="19"/>
  <c r="D10" i="19"/>
  <c r="G211" i="19"/>
  <c r="H211" i="19" s="1"/>
  <c r="H149" i="19"/>
  <c r="H233" i="19"/>
  <c r="H90" i="19"/>
  <c r="I90" i="19" s="1"/>
  <c r="F75" i="19"/>
  <c r="G44" i="19"/>
  <c r="H44" i="19" s="1"/>
  <c r="I44" i="19" s="1"/>
  <c r="J44" i="19" s="1"/>
  <c r="K44" i="19" s="1"/>
  <c r="G57" i="19"/>
  <c r="H57" i="19" s="1"/>
  <c r="I57" i="19" s="1"/>
  <c r="J57" i="19" s="1"/>
  <c r="K57" i="19" s="1"/>
  <c r="L57" i="19" s="1"/>
  <c r="M57" i="19" s="1"/>
  <c r="F91" i="19"/>
  <c r="G91" i="19" s="1"/>
  <c r="I92" i="19"/>
  <c r="J92" i="19" s="1"/>
  <c r="K92" i="19" s="1"/>
  <c r="H113" i="19"/>
  <c r="H77" i="19"/>
  <c r="H210" i="19"/>
  <c r="I210" i="19" s="1"/>
  <c r="G150" i="19"/>
  <c r="H150" i="19" s="1"/>
  <c r="G209" i="19"/>
  <c r="H209" i="19" s="1"/>
  <c r="I175" i="19"/>
  <c r="J175" i="19" s="1"/>
  <c r="F89" i="19"/>
  <c r="G89" i="19" s="1"/>
  <c r="H89" i="19" s="1"/>
  <c r="I56" i="19"/>
  <c r="J56" i="19" s="1"/>
  <c r="K56" i="19" s="1"/>
  <c r="G41" i="19"/>
  <c r="H41" i="19" s="1"/>
  <c r="G29" i="19"/>
  <c r="H29" i="19" s="1"/>
  <c r="H33" i="19"/>
  <c r="I33" i="19" s="1"/>
  <c r="J33" i="19" s="1"/>
  <c r="K33" i="19" s="1"/>
  <c r="L33" i="19" s="1"/>
  <c r="M33" i="19" s="1"/>
  <c r="G16" i="19"/>
  <c r="G22" i="19" s="1"/>
  <c r="H201" i="19"/>
  <c r="I201" i="19" s="1"/>
  <c r="J201" i="19" s="1"/>
  <c r="K201" i="19" s="1"/>
  <c r="L201" i="19" s="1"/>
  <c r="M201" i="19" s="1"/>
  <c r="G19" i="19"/>
  <c r="H19" i="19" s="1"/>
  <c r="I212" i="19"/>
  <c r="J212" i="19" s="1"/>
  <c r="K212" i="19" s="1"/>
  <c r="F199" i="19"/>
  <c r="G199" i="19" s="1"/>
  <c r="H186" i="19"/>
  <c r="I186" i="19" s="1"/>
  <c r="G126" i="19"/>
  <c r="H105" i="19"/>
  <c r="I105" i="19" s="1"/>
  <c r="J105" i="19" s="1"/>
  <c r="K105" i="19" s="1"/>
  <c r="L105" i="19" s="1"/>
  <c r="M105" i="19" s="1"/>
  <c r="G81" i="19"/>
  <c r="H81" i="19" s="1"/>
  <c r="I81" i="19" s="1"/>
  <c r="J81" i="19" s="1"/>
  <c r="K81" i="19" s="1"/>
  <c r="L81" i="19" s="1"/>
  <c r="M81" i="19" s="1"/>
  <c r="F185" i="19"/>
  <c r="G185" i="19" s="1"/>
  <c r="H185" i="19" s="1"/>
  <c r="I93" i="19"/>
  <c r="J93" i="19" s="1"/>
  <c r="K93" i="19" s="1"/>
  <c r="L93" i="19" s="1"/>
  <c r="M93" i="19" s="1"/>
  <c r="F225" i="19"/>
  <c r="H165" i="19"/>
  <c r="I165" i="19" s="1"/>
  <c r="J165" i="19" s="1"/>
  <c r="K165" i="19" s="1"/>
  <c r="L165" i="19" s="1"/>
  <c r="M165" i="19" s="1"/>
  <c r="H114" i="19"/>
  <c r="I114" i="19" s="1"/>
  <c r="H8" i="19"/>
  <c r="I8" i="19" s="1"/>
  <c r="J8" i="19" s="1"/>
  <c r="K8" i="19" s="1"/>
  <c r="G187" i="19"/>
  <c r="H187" i="19" s="1"/>
  <c r="H224" i="19"/>
  <c r="I224" i="19" s="1"/>
  <c r="J224" i="19" s="1"/>
  <c r="K224" i="19" s="1"/>
  <c r="H32" i="19"/>
  <c r="I32" i="19" s="1"/>
  <c r="J32" i="19" s="1"/>
  <c r="K32" i="19" s="1"/>
  <c r="F6" i="19"/>
  <c r="G6" i="19" s="1"/>
  <c r="H43" i="19"/>
  <c r="I43" i="19" s="1"/>
  <c r="H102" i="19"/>
  <c r="I102" i="19" s="1"/>
  <c r="G161" i="19"/>
  <c r="H161" i="19" s="1"/>
  <c r="H173" i="19"/>
  <c r="G45" i="19"/>
  <c r="H45" i="19" s="1"/>
  <c r="I45" i="19" s="1"/>
  <c r="J45" i="19" s="1"/>
  <c r="K45" i="19" s="1"/>
  <c r="L45" i="19" s="1"/>
  <c r="M45" i="19" s="1"/>
  <c r="I21" i="19"/>
  <c r="J21" i="19" s="1"/>
  <c r="K21" i="19" s="1"/>
  <c r="L21" i="19" s="1"/>
  <c r="M21" i="19" s="1"/>
  <c r="H140" i="19"/>
  <c r="I140" i="19" s="1"/>
  <c r="J140" i="19" s="1"/>
  <c r="K140" i="19" s="1"/>
  <c r="G162" i="19"/>
  <c r="H189" i="19"/>
  <c r="I189" i="19" s="1"/>
  <c r="J189" i="19" s="1"/>
  <c r="K189" i="19" s="1"/>
  <c r="L189" i="19" s="1"/>
  <c r="M189" i="19" s="1"/>
  <c r="F116" i="19"/>
  <c r="G116" i="19" s="1"/>
  <c r="H116" i="19" s="1"/>
  <c r="F78" i="19"/>
  <c r="G117" i="19"/>
  <c r="H117" i="19" s="1"/>
  <c r="I117" i="19" s="1"/>
  <c r="J117" i="19" s="1"/>
  <c r="K117" i="19" s="1"/>
  <c r="L117" i="19" s="1"/>
  <c r="M117" i="19" s="1"/>
  <c r="F115" i="19"/>
  <c r="F222" i="19"/>
  <c r="G222" i="19" s="1"/>
  <c r="H222" i="19" s="1"/>
  <c r="F198" i="19"/>
  <c r="G198" i="19" s="1"/>
  <c r="H198" i="19" s="1"/>
  <c r="G176" i="19"/>
  <c r="H127" i="19"/>
  <c r="I127" i="19" s="1"/>
  <c r="F174" i="19"/>
  <c r="F104" i="19"/>
  <c r="G104" i="19" s="1"/>
  <c r="H42" i="19"/>
  <c r="I42" i="19" s="1"/>
  <c r="G7" i="19"/>
  <c r="H7" i="19" s="1"/>
  <c r="H177" i="19"/>
  <c r="I177" i="19" s="1"/>
  <c r="J177" i="19" s="1"/>
  <c r="K177" i="19" s="1"/>
  <c r="L177" i="19" s="1"/>
  <c r="M177" i="19" s="1"/>
  <c r="F65" i="19"/>
  <c r="G65" i="19" s="1"/>
  <c r="I79" i="19"/>
  <c r="J79" i="19" s="1"/>
  <c r="I163" i="19"/>
  <c r="J163" i="19" s="1"/>
  <c r="H223" i="19"/>
  <c r="I223" i="19" s="1"/>
  <c r="J223" i="19" s="1"/>
  <c r="G30" i="19"/>
  <c r="H234" i="19"/>
  <c r="I234" i="19" s="1"/>
  <c r="I138" i="19"/>
  <c r="I235" i="19"/>
  <c r="J235" i="19" s="1"/>
  <c r="I153" i="19"/>
  <c r="J153" i="19" s="1"/>
  <c r="K153" i="19" s="1"/>
  <c r="L153" i="19" s="1"/>
  <c r="M153" i="19" s="1"/>
  <c r="I67" i="19"/>
  <c r="J67" i="19" s="1"/>
  <c r="H17" i="19"/>
  <c r="F197" i="19"/>
  <c r="I68" i="19"/>
  <c r="J68" i="19" s="1"/>
  <c r="K68" i="19" s="1"/>
  <c r="G20" i="19"/>
  <c r="G103" i="19"/>
  <c r="H103" i="19" s="1"/>
  <c r="F152" i="19"/>
  <c r="G152" i="19" s="1"/>
  <c r="H152" i="19" s="1"/>
  <c r="G200" i="19"/>
  <c r="H200" i="19" s="1"/>
  <c r="G80" i="19"/>
  <c r="H80" i="19" s="1"/>
  <c r="F31" i="19"/>
  <c r="G31" i="19" s="1"/>
  <c r="G129" i="19"/>
  <c r="H129" i="19" s="1"/>
  <c r="G18" i="19"/>
  <c r="H18" i="19" s="1"/>
  <c r="Z65" i="13" l="1"/>
  <c r="AB65" i="13"/>
  <c r="AD65" i="13"/>
  <c r="AA65" i="13"/>
  <c r="X65" i="13"/>
  <c r="Y65" i="13"/>
  <c r="AC65" i="13"/>
  <c r="V65" i="13"/>
  <c r="A32" i="24"/>
  <c r="A630" i="13"/>
  <c r="AE65" i="13"/>
  <c r="K71" i="19"/>
  <c r="L71" i="19" s="1"/>
  <c r="K47" i="19"/>
  <c r="K48" i="19" s="1"/>
  <c r="H48" i="19"/>
  <c r="D227" i="19"/>
  <c r="D154" i="19"/>
  <c r="K226" i="19"/>
  <c r="K35" i="19"/>
  <c r="L35" i="19" s="1"/>
  <c r="E155" i="19"/>
  <c r="L227" i="19"/>
  <c r="H155" i="19"/>
  <c r="L226" i="19"/>
  <c r="H154" i="19"/>
  <c r="E154" i="19"/>
  <c r="M155" i="19"/>
  <c r="M154" i="19"/>
  <c r="F155" i="19"/>
  <c r="G154" i="19"/>
  <c r="L154" i="19"/>
  <c r="L155" i="19"/>
  <c r="E227" i="19"/>
  <c r="I227" i="19"/>
  <c r="J226" i="19"/>
  <c r="G155" i="19"/>
  <c r="F226" i="19"/>
  <c r="F227" i="19"/>
  <c r="H226" i="19"/>
  <c r="I155" i="19"/>
  <c r="I154" i="19"/>
  <c r="H227" i="19"/>
  <c r="M227" i="19"/>
  <c r="K154" i="19"/>
  <c r="G227" i="19"/>
  <c r="M226" i="19"/>
  <c r="E226" i="19"/>
  <c r="D226" i="19"/>
  <c r="I226" i="19"/>
  <c r="K227" i="19"/>
  <c r="G226" i="19"/>
  <c r="J154" i="19"/>
  <c r="D155" i="19"/>
  <c r="K155" i="19"/>
  <c r="F154" i="19"/>
  <c r="F72" i="19"/>
  <c r="D72" i="19"/>
  <c r="G240" i="19"/>
  <c r="H239" i="19"/>
  <c r="I239" i="19" s="1"/>
  <c r="J239" i="19" s="1"/>
  <c r="J240" i="19" s="1"/>
  <c r="E240" i="19"/>
  <c r="D36" i="19"/>
  <c r="D240" i="19"/>
  <c r="F48" i="19"/>
  <c r="F240" i="19"/>
  <c r="E72" i="19"/>
  <c r="G48" i="19"/>
  <c r="E48" i="19"/>
  <c r="I118" i="19"/>
  <c r="M118" i="19"/>
  <c r="J118" i="19"/>
  <c r="K118" i="19"/>
  <c r="D119" i="19"/>
  <c r="G119" i="19"/>
  <c r="H119" i="19"/>
  <c r="F118" i="19"/>
  <c r="G118" i="19"/>
  <c r="J119" i="19"/>
  <c r="L118" i="19"/>
  <c r="F119" i="19"/>
  <c r="H118" i="19"/>
  <c r="E118" i="19"/>
  <c r="L119" i="19"/>
  <c r="K119" i="19"/>
  <c r="I119" i="19"/>
  <c r="E119" i="19"/>
  <c r="D118" i="19"/>
  <c r="I48" i="19"/>
  <c r="I108" i="19"/>
  <c r="J48" i="19"/>
  <c r="M215" i="19"/>
  <c r="M214" i="19"/>
  <c r="L214" i="19"/>
  <c r="I214" i="19"/>
  <c r="L215" i="19"/>
  <c r="D214" i="19"/>
  <c r="E214" i="19"/>
  <c r="G214" i="19"/>
  <c r="D215" i="19"/>
  <c r="F214" i="19"/>
  <c r="G215" i="19"/>
  <c r="J215" i="19"/>
  <c r="K214" i="19"/>
  <c r="I215" i="19"/>
  <c r="H214" i="19"/>
  <c r="H215" i="19"/>
  <c r="J214" i="19"/>
  <c r="E215" i="19"/>
  <c r="M131" i="19"/>
  <c r="K130" i="19"/>
  <c r="H131" i="19"/>
  <c r="M130" i="19"/>
  <c r="J130" i="19"/>
  <c r="E131" i="19"/>
  <c r="I131" i="19"/>
  <c r="F131" i="19"/>
  <c r="E130" i="19"/>
  <c r="H130" i="19"/>
  <c r="L131" i="19"/>
  <c r="D131" i="19"/>
  <c r="I130" i="19"/>
  <c r="K131" i="19"/>
  <c r="F130" i="19"/>
  <c r="G131" i="19"/>
  <c r="L130" i="19"/>
  <c r="J131" i="19"/>
  <c r="D130" i="19"/>
  <c r="G130" i="19"/>
  <c r="K203" i="19"/>
  <c r="M203" i="19"/>
  <c r="H202" i="19"/>
  <c r="I203" i="19"/>
  <c r="D203" i="19"/>
  <c r="E202" i="19"/>
  <c r="M202" i="19"/>
  <c r="H203" i="19"/>
  <c r="J202" i="19"/>
  <c r="G203" i="19"/>
  <c r="F203" i="19"/>
  <c r="L203" i="19"/>
  <c r="L202" i="19"/>
  <c r="F202" i="19"/>
  <c r="K202" i="19"/>
  <c r="J203" i="19"/>
  <c r="D202" i="19"/>
  <c r="I202" i="19"/>
  <c r="E203" i="19"/>
  <c r="G202" i="19"/>
  <c r="F215" i="19"/>
  <c r="K215" i="19"/>
  <c r="M179" i="19"/>
  <c r="D178" i="19"/>
  <c r="H179" i="19"/>
  <c r="K178" i="19"/>
  <c r="L178" i="19"/>
  <c r="L179" i="19"/>
  <c r="G179" i="19"/>
  <c r="I178" i="19"/>
  <c r="I179" i="19"/>
  <c r="D179" i="19"/>
  <c r="F179" i="19"/>
  <c r="J178" i="19"/>
  <c r="K179" i="19"/>
  <c r="H178" i="19"/>
  <c r="J179" i="19"/>
  <c r="E178" i="19"/>
  <c r="E179" i="19"/>
  <c r="M178" i="19"/>
  <c r="G178" i="19"/>
  <c r="F178" i="19"/>
  <c r="L58" i="19"/>
  <c r="I58" i="19"/>
  <c r="D58" i="19"/>
  <c r="J58" i="19"/>
  <c r="G58" i="19"/>
  <c r="E58" i="19"/>
  <c r="K58" i="19"/>
  <c r="D59" i="19"/>
  <c r="E59" i="19" s="1"/>
  <c r="F59" i="19" s="1"/>
  <c r="G59" i="19" s="1"/>
  <c r="H59" i="19" s="1"/>
  <c r="I59" i="19" s="1"/>
  <c r="J59" i="19" s="1"/>
  <c r="M58" i="19"/>
  <c r="H58" i="19"/>
  <c r="F58" i="19"/>
  <c r="E82" i="19"/>
  <c r="G82" i="19"/>
  <c r="L82" i="19"/>
  <c r="D82" i="19"/>
  <c r="D83" i="19"/>
  <c r="E83" i="19" s="1"/>
  <c r="F83" i="19" s="1"/>
  <c r="G83" i="19" s="1"/>
  <c r="H83" i="19" s="1"/>
  <c r="I83" i="19" s="1"/>
  <c r="J83" i="19" s="1"/>
  <c r="K82" i="19"/>
  <c r="J82" i="19"/>
  <c r="H82" i="19"/>
  <c r="F82" i="19"/>
  <c r="M82" i="19"/>
  <c r="I82" i="19"/>
  <c r="D48" i="19"/>
  <c r="G95" i="19"/>
  <c r="H94" i="19"/>
  <c r="F95" i="19"/>
  <c r="L94" i="19"/>
  <c r="G94" i="19"/>
  <c r="J95" i="19"/>
  <c r="M95" i="19"/>
  <c r="D94" i="19"/>
  <c r="F94" i="19"/>
  <c r="E95" i="19"/>
  <c r="L95" i="19"/>
  <c r="E94" i="19"/>
  <c r="D95" i="19"/>
  <c r="K94" i="19"/>
  <c r="K95" i="19"/>
  <c r="J94" i="19"/>
  <c r="I95" i="19"/>
  <c r="I94" i="19"/>
  <c r="H95" i="19"/>
  <c r="M94" i="19"/>
  <c r="H167" i="19"/>
  <c r="K166" i="19"/>
  <c r="G167" i="19"/>
  <c r="D166" i="19"/>
  <c r="J167" i="19"/>
  <c r="G166" i="19"/>
  <c r="K167" i="19"/>
  <c r="M167" i="19"/>
  <c r="I167" i="19"/>
  <c r="F166" i="19"/>
  <c r="E167" i="19"/>
  <c r="F167" i="19"/>
  <c r="J166" i="19"/>
  <c r="E166" i="19"/>
  <c r="L167" i="19"/>
  <c r="I166" i="19"/>
  <c r="L166" i="19"/>
  <c r="D167" i="19"/>
  <c r="H166" i="19"/>
  <c r="M166" i="19"/>
  <c r="L144" i="19"/>
  <c r="G192" i="19"/>
  <c r="D108" i="19"/>
  <c r="E144" i="19"/>
  <c r="J108" i="19"/>
  <c r="H108" i="19"/>
  <c r="I144" i="19"/>
  <c r="H144" i="19"/>
  <c r="G108" i="19"/>
  <c r="E108" i="19"/>
  <c r="I192" i="19"/>
  <c r="F192" i="19"/>
  <c r="E192" i="19"/>
  <c r="G144" i="19"/>
  <c r="F144" i="19"/>
  <c r="J144" i="19"/>
  <c r="K192" i="19"/>
  <c r="H192" i="19"/>
  <c r="D192" i="19"/>
  <c r="J192" i="19"/>
  <c r="M23" i="19"/>
  <c r="G11" i="19"/>
  <c r="H11" i="19" s="1"/>
  <c r="I11" i="19" s="1"/>
  <c r="J11" i="19" s="1"/>
  <c r="D12" i="19"/>
  <c r="F12" i="19"/>
  <c r="E12" i="19"/>
  <c r="I211" i="19"/>
  <c r="J211" i="19" s="1"/>
  <c r="I187" i="19"/>
  <c r="J187" i="19" s="1"/>
  <c r="L192" i="19"/>
  <c r="H91" i="19"/>
  <c r="I91" i="19" s="1"/>
  <c r="H104" i="19"/>
  <c r="I104" i="19" s="1"/>
  <c r="J104" i="19" s="1"/>
  <c r="K104" i="19" s="1"/>
  <c r="K108" i="19"/>
  <c r="J127" i="19"/>
  <c r="I198" i="19"/>
  <c r="I129" i="19"/>
  <c r="J129" i="19" s="1"/>
  <c r="K129" i="19" s="1"/>
  <c r="L129" i="19" s="1"/>
  <c r="M129" i="19" s="1"/>
  <c r="I103" i="19"/>
  <c r="J103" i="19" s="1"/>
  <c r="I200" i="19"/>
  <c r="J200" i="19" s="1"/>
  <c r="K200" i="19" s="1"/>
  <c r="H199" i="19"/>
  <c r="I199" i="19" s="1"/>
  <c r="J199" i="19" s="1"/>
  <c r="I150" i="19"/>
  <c r="G197" i="19"/>
  <c r="H197" i="19" s="1"/>
  <c r="K144" i="19"/>
  <c r="M144" i="19"/>
  <c r="L108" i="19"/>
  <c r="M108" i="19"/>
  <c r="G72" i="19"/>
  <c r="I222" i="19"/>
  <c r="I116" i="19"/>
  <c r="J116" i="19" s="1"/>
  <c r="K116" i="19" s="1"/>
  <c r="I152" i="19"/>
  <c r="J152" i="19" s="1"/>
  <c r="K152" i="19" s="1"/>
  <c r="H6" i="19"/>
  <c r="I6" i="19" s="1"/>
  <c r="H176" i="19"/>
  <c r="I176" i="19" s="1"/>
  <c r="J176" i="19" s="1"/>
  <c r="K176" i="19" s="1"/>
  <c r="H30" i="19"/>
  <c r="I30" i="19" s="1"/>
  <c r="H20" i="19"/>
  <c r="I20" i="19" s="1"/>
  <c r="J20" i="19" s="1"/>
  <c r="K20" i="19" s="1"/>
  <c r="E24" i="19"/>
  <c r="G78" i="19"/>
  <c r="H126" i="19"/>
  <c r="I126" i="19" s="1"/>
  <c r="I19" i="19"/>
  <c r="J19" i="19" s="1"/>
  <c r="H162" i="19"/>
  <c r="I162" i="19" s="1"/>
  <c r="G115" i="19"/>
  <c r="I7" i="19"/>
  <c r="J7" i="19" s="1"/>
  <c r="G174" i="19"/>
  <c r="H174" i="19" s="1"/>
  <c r="I174" i="19" s="1"/>
  <c r="I80" i="19"/>
  <c r="J80" i="19" s="1"/>
  <c r="K80" i="19" s="1"/>
  <c r="H31" i="19"/>
  <c r="I31" i="19" s="1"/>
  <c r="J31" i="19" s="1"/>
  <c r="I18" i="19"/>
  <c r="H65" i="19"/>
  <c r="E36" i="19"/>
  <c r="G225" i="19"/>
  <c r="H225" i="19" s="1"/>
  <c r="J43" i="19"/>
  <c r="A33" i="24" l="1"/>
  <c r="A631" i="13"/>
  <c r="K83" i="19"/>
  <c r="L83" i="19" s="1"/>
  <c r="M83" i="19" s="1"/>
  <c r="M71" i="19"/>
  <c r="E156" i="19"/>
  <c r="K59" i="19"/>
  <c r="K60" i="19" s="1"/>
  <c r="D228" i="19"/>
  <c r="L47" i="19"/>
  <c r="L48" i="19" s="1"/>
  <c r="D156" i="19"/>
  <c r="M35" i="19"/>
  <c r="J168" i="19"/>
  <c r="F228" i="19"/>
  <c r="F156" i="19"/>
  <c r="E228" i="19"/>
  <c r="H240" i="19"/>
  <c r="F84" i="19"/>
  <c r="I240" i="19"/>
  <c r="K239" i="19"/>
  <c r="K240" i="19" s="1"/>
  <c r="D120" i="19"/>
  <c r="E120" i="19"/>
  <c r="E180" i="19"/>
  <c r="F120" i="19"/>
  <c r="M216" i="19"/>
  <c r="L96" i="19"/>
  <c r="I96" i="19"/>
  <c r="L204" i="19"/>
  <c r="J60" i="19"/>
  <c r="D84" i="19"/>
  <c r="H132" i="19"/>
  <c r="G84" i="19"/>
  <c r="D204" i="19"/>
  <c r="J204" i="19"/>
  <c r="I132" i="19"/>
  <c r="E60" i="19"/>
  <c r="F60" i="19"/>
  <c r="G60" i="19"/>
  <c r="F204" i="19"/>
  <c r="E204" i="19"/>
  <c r="I204" i="19"/>
  <c r="M204" i="19"/>
  <c r="G216" i="19"/>
  <c r="J132" i="19"/>
  <c r="E216" i="19"/>
  <c r="G132" i="19"/>
  <c r="M132" i="19"/>
  <c r="D216" i="19"/>
  <c r="H216" i="19"/>
  <c r="D180" i="19"/>
  <c r="D60" i="19"/>
  <c r="K204" i="19"/>
  <c r="D132" i="19"/>
  <c r="K216" i="19"/>
  <c r="K132" i="19"/>
  <c r="I216" i="19"/>
  <c r="I60" i="19"/>
  <c r="L132" i="19"/>
  <c r="E132" i="19"/>
  <c r="L216" i="19"/>
  <c r="H60" i="19"/>
  <c r="G204" i="19"/>
  <c r="F216" i="19"/>
  <c r="H204" i="19"/>
  <c r="F132" i="19"/>
  <c r="J216" i="19"/>
  <c r="K96" i="19"/>
  <c r="G96" i="19"/>
  <c r="E84" i="19"/>
  <c r="E96" i="19"/>
  <c r="I168" i="19"/>
  <c r="E168" i="19"/>
  <c r="G168" i="19"/>
  <c r="H96" i="19"/>
  <c r="F96" i="19"/>
  <c r="J96" i="19"/>
  <c r="D96" i="19"/>
  <c r="D168" i="19"/>
  <c r="H168" i="19"/>
  <c r="F168" i="19"/>
  <c r="K168" i="19"/>
  <c r="O138" i="19"/>
  <c r="G14" i="20" s="1"/>
  <c r="H14" i="20" s="1"/>
  <c r="O102" i="19"/>
  <c r="G11" i="20" s="1"/>
  <c r="H11" i="20" s="1"/>
  <c r="K11" i="19"/>
  <c r="L11" i="19" s="1"/>
  <c r="G12" i="19"/>
  <c r="H12" i="19"/>
  <c r="M192" i="19"/>
  <c r="O186" i="19" s="1"/>
  <c r="M96" i="19"/>
  <c r="H84" i="19"/>
  <c r="J91" i="19"/>
  <c r="L168" i="19"/>
  <c r="M168" i="19"/>
  <c r="H72" i="19"/>
  <c r="F180" i="19"/>
  <c r="H78" i="19"/>
  <c r="I78" i="19" s="1"/>
  <c r="F36" i="19"/>
  <c r="G156" i="19"/>
  <c r="F24" i="19"/>
  <c r="H115" i="19"/>
  <c r="I115" i="19" s="1"/>
  <c r="G120" i="19"/>
  <c r="G228" i="19"/>
  <c r="I225" i="19"/>
  <c r="J225" i="19" s="1"/>
  <c r="K225" i="19" s="1"/>
  <c r="L225" i="19" s="1"/>
  <c r="M225" i="19" s="1"/>
  <c r="A34" i="24" l="1"/>
  <c r="A632" i="13"/>
  <c r="L59" i="19"/>
  <c r="L60" i="19" s="1"/>
  <c r="M47" i="19"/>
  <c r="M48" i="19" s="1"/>
  <c r="O42" i="19" s="1"/>
  <c r="V5" i="19" s="1"/>
  <c r="L239" i="19"/>
  <c r="O198" i="19"/>
  <c r="O199" i="19" s="1"/>
  <c r="O126" i="19"/>
  <c r="G13" i="20" s="1"/>
  <c r="O210" i="19"/>
  <c r="V20" i="19" s="1"/>
  <c r="O90" i="19"/>
  <c r="G10" i="20" s="1"/>
  <c r="H10" i="20" s="1"/>
  <c r="AI11" i="20"/>
  <c r="AK11" i="20"/>
  <c r="F363" i="13" s="1"/>
  <c r="AS11" i="20"/>
  <c r="F371" i="13" s="1"/>
  <c r="I371" i="13" s="1"/>
  <c r="P371" i="13" s="1"/>
  <c r="BA11" i="20"/>
  <c r="F379" i="13" s="1"/>
  <c r="I379" i="13" s="1"/>
  <c r="P379" i="13" s="1"/>
  <c r="AL11" i="20"/>
  <c r="F364" i="13" s="1"/>
  <c r="AT11" i="20"/>
  <c r="F372" i="13" s="1"/>
  <c r="I372" i="13" s="1"/>
  <c r="P372" i="13" s="1"/>
  <c r="BB11" i="20"/>
  <c r="F380" i="13" s="1"/>
  <c r="I380" i="13" s="1"/>
  <c r="P380" i="13" s="1"/>
  <c r="AM11" i="20"/>
  <c r="F365" i="13" s="1"/>
  <c r="I365" i="13" s="1"/>
  <c r="P365" i="13" s="1"/>
  <c r="AU11" i="20"/>
  <c r="F373" i="13" s="1"/>
  <c r="I373" i="13" s="1"/>
  <c r="P373" i="13" s="1"/>
  <c r="BC11" i="20"/>
  <c r="F381" i="13" s="1"/>
  <c r="I381" i="13" s="1"/>
  <c r="P381" i="13" s="1"/>
  <c r="AN11" i="20"/>
  <c r="F366" i="13" s="1"/>
  <c r="I366" i="13" s="1"/>
  <c r="P366" i="13" s="1"/>
  <c r="AV11" i="20"/>
  <c r="F374" i="13" s="1"/>
  <c r="I374" i="13" s="1"/>
  <c r="P374" i="13" s="1"/>
  <c r="AJ11" i="20"/>
  <c r="F362" i="13" s="1"/>
  <c r="AO11" i="20"/>
  <c r="F367" i="13" s="1"/>
  <c r="I367" i="13" s="1"/>
  <c r="P367" i="13" s="1"/>
  <c r="AW11" i="20"/>
  <c r="F375" i="13" s="1"/>
  <c r="I375" i="13" s="1"/>
  <c r="P375" i="13" s="1"/>
  <c r="AR11" i="20"/>
  <c r="F370" i="13" s="1"/>
  <c r="I370" i="13" s="1"/>
  <c r="P370" i="13" s="1"/>
  <c r="AP11" i="20"/>
  <c r="F368" i="13" s="1"/>
  <c r="I368" i="13" s="1"/>
  <c r="P368" i="13" s="1"/>
  <c r="AX11" i="20"/>
  <c r="F376" i="13" s="1"/>
  <c r="I376" i="13" s="1"/>
  <c r="P376" i="13" s="1"/>
  <c r="AQ11" i="20"/>
  <c r="F369" i="13" s="1"/>
  <c r="I369" i="13" s="1"/>
  <c r="P369" i="13" s="1"/>
  <c r="AY11" i="20"/>
  <c r="F377" i="13" s="1"/>
  <c r="I377" i="13" s="1"/>
  <c r="P377" i="13" s="1"/>
  <c r="AZ11" i="20"/>
  <c r="F378" i="13" s="1"/>
  <c r="I378" i="13" s="1"/>
  <c r="P378" i="13" s="1"/>
  <c r="AI14" i="20"/>
  <c r="AR14" i="20"/>
  <c r="F430" i="13" s="1"/>
  <c r="I430" i="13" s="1"/>
  <c r="P430" i="13" s="1"/>
  <c r="AZ14" i="20"/>
  <c r="F438" i="13" s="1"/>
  <c r="I438" i="13" s="1"/>
  <c r="P438" i="13" s="1"/>
  <c r="AY14" i="20"/>
  <c r="F437" i="13" s="1"/>
  <c r="I437" i="13" s="1"/>
  <c r="P437" i="13" s="1"/>
  <c r="AK14" i="20"/>
  <c r="F423" i="13" s="1"/>
  <c r="AS14" i="20"/>
  <c r="F431" i="13" s="1"/>
  <c r="I431" i="13" s="1"/>
  <c r="P431" i="13" s="1"/>
  <c r="BA14" i="20"/>
  <c r="F439" i="13" s="1"/>
  <c r="I439" i="13" s="1"/>
  <c r="P439" i="13" s="1"/>
  <c r="AL14" i="20"/>
  <c r="F424" i="13" s="1"/>
  <c r="AT14" i="20"/>
  <c r="F432" i="13" s="1"/>
  <c r="I432" i="13" s="1"/>
  <c r="P432" i="13" s="1"/>
  <c r="BB14" i="20"/>
  <c r="F440" i="13" s="1"/>
  <c r="I440" i="13" s="1"/>
  <c r="P440" i="13" s="1"/>
  <c r="AM14" i="20"/>
  <c r="F425" i="13" s="1"/>
  <c r="AU14" i="20"/>
  <c r="F433" i="13" s="1"/>
  <c r="I433" i="13" s="1"/>
  <c r="P433" i="13" s="1"/>
  <c r="BC14" i="20"/>
  <c r="F441" i="13" s="1"/>
  <c r="I441" i="13" s="1"/>
  <c r="P441" i="13" s="1"/>
  <c r="AN14" i="20"/>
  <c r="F426" i="13" s="1"/>
  <c r="AV14" i="20"/>
  <c r="F434" i="13" s="1"/>
  <c r="I434" i="13" s="1"/>
  <c r="P434" i="13" s="1"/>
  <c r="AO14" i="20"/>
  <c r="F427" i="13" s="1"/>
  <c r="I427" i="13" s="1"/>
  <c r="P427" i="13" s="1"/>
  <c r="AW14" i="20"/>
  <c r="F435" i="13" s="1"/>
  <c r="I435" i="13" s="1"/>
  <c r="P435" i="13" s="1"/>
  <c r="AP14" i="20"/>
  <c r="F428" i="13" s="1"/>
  <c r="I428" i="13" s="1"/>
  <c r="P428" i="13" s="1"/>
  <c r="AX14" i="20"/>
  <c r="F436" i="13" s="1"/>
  <c r="AJ14" i="20"/>
  <c r="F422" i="13" s="1"/>
  <c r="AQ14" i="20"/>
  <c r="F429" i="13" s="1"/>
  <c r="I429" i="13" s="1"/>
  <c r="P429" i="13" s="1"/>
  <c r="G18" i="20"/>
  <c r="H18" i="20" s="1"/>
  <c r="V18" i="19"/>
  <c r="O187" i="19"/>
  <c r="AG11" i="20"/>
  <c r="O103" i="19"/>
  <c r="AG14" i="20"/>
  <c r="AH14" i="20" s="1"/>
  <c r="O162" i="19"/>
  <c r="V14" i="19"/>
  <c r="O139" i="19"/>
  <c r="M11" i="19"/>
  <c r="I12" i="19"/>
  <c r="I84" i="19"/>
  <c r="J115" i="19"/>
  <c r="V11" i="19"/>
  <c r="I72" i="19"/>
  <c r="H120" i="19"/>
  <c r="G36" i="19"/>
  <c r="H228" i="19"/>
  <c r="G180" i="19"/>
  <c r="G24" i="19"/>
  <c r="H156" i="19"/>
  <c r="A35" i="24" l="1"/>
  <c r="A633" i="13"/>
  <c r="I425" i="13"/>
  <c r="P425" i="13" s="1"/>
  <c r="I436" i="13"/>
  <c r="P436" i="13" s="1"/>
  <c r="I424" i="13"/>
  <c r="P424" i="13" s="1"/>
  <c r="I362" i="13"/>
  <c r="P362" i="13" s="1"/>
  <c r="I364" i="13"/>
  <c r="P364" i="13" s="1"/>
  <c r="I422" i="13"/>
  <c r="P422" i="13" s="1"/>
  <c r="I426" i="13"/>
  <c r="P426" i="13" s="1"/>
  <c r="I423" i="13"/>
  <c r="P423" i="13" s="1"/>
  <c r="I363" i="13"/>
  <c r="P363" i="13" s="1"/>
  <c r="O43" i="19"/>
  <c r="G6" i="20"/>
  <c r="H6" i="20" s="1"/>
  <c r="AI6" i="20" s="1"/>
  <c r="M59" i="19"/>
  <c r="M60" i="19" s="1"/>
  <c r="O54" i="19" s="1"/>
  <c r="L240" i="19"/>
  <c r="M239" i="19"/>
  <c r="M240" i="19" s="1"/>
  <c r="V13" i="19"/>
  <c r="G20" i="20"/>
  <c r="H20" i="20" s="1"/>
  <c r="AI20" i="20" s="1"/>
  <c r="G19" i="20"/>
  <c r="AR19" i="20" s="1"/>
  <c r="F530" i="13" s="1"/>
  <c r="I530" i="13" s="1"/>
  <c r="P530" i="13" s="1"/>
  <c r="V19" i="19"/>
  <c r="AR13" i="20"/>
  <c r="F410" i="13" s="1"/>
  <c r="I410" i="13" s="1"/>
  <c r="P410" i="13" s="1"/>
  <c r="H13" i="20"/>
  <c r="AI13" i="20" s="1"/>
  <c r="AP13" i="20"/>
  <c r="F408" i="13" s="1"/>
  <c r="I408" i="13" s="1"/>
  <c r="P408" i="13" s="1"/>
  <c r="AG13" i="20"/>
  <c r="AH13" i="20" s="1"/>
  <c r="O211" i="19"/>
  <c r="AX13" i="20"/>
  <c r="F416" i="13" s="1"/>
  <c r="I416" i="13" s="1"/>
  <c r="P416" i="13" s="1"/>
  <c r="BB13" i="20"/>
  <c r="F420" i="13" s="1"/>
  <c r="I420" i="13" s="1"/>
  <c r="P420" i="13" s="1"/>
  <c r="AZ13" i="20"/>
  <c r="F418" i="13" s="1"/>
  <c r="I418" i="13" s="1"/>
  <c r="P418" i="13" s="1"/>
  <c r="AS13" i="20"/>
  <c r="F411" i="13" s="1"/>
  <c r="I411" i="13" s="1"/>
  <c r="P411" i="13" s="1"/>
  <c r="BA13" i="20"/>
  <c r="F419" i="13" s="1"/>
  <c r="I419" i="13" s="1"/>
  <c r="P419" i="13" s="1"/>
  <c r="O127" i="19"/>
  <c r="AV13" i="20"/>
  <c r="F414" i="13" s="1"/>
  <c r="I414" i="13" s="1"/>
  <c r="P414" i="13" s="1"/>
  <c r="AU13" i="20"/>
  <c r="F413" i="13" s="1"/>
  <c r="I413" i="13" s="1"/>
  <c r="P413" i="13" s="1"/>
  <c r="AY13" i="20"/>
  <c r="F417" i="13" s="1"/>
  <c r="I417" i="13" s="1"/>
  <c r="P417" i="13" s="1"/>
  <c r="AK13" i="20"/>
  <c r="F403" i="13" s="1"/>
  <c r="AW13" i="20"/>
  <c r="F415" i="13" s="1"/>
  <c r="I415" i="13" s="1"/>
  <c r="P415" i="13" s="1"/>
  <c r="AL13" i="20"/>
  <c r="F404" i="13" s="1"/>
  <c r="BC13" i="20"/>
  <c r="F421" i="13" s="1"/>
  <c r="I421" i="13" s="1"/>
  <c r="P421" i="13" s="1"/>
  <c r="V10" i="19"/>
  <c r="O91" i="19"/>
  <c r="AN13" i="20"/>
  <c r="F406" i="13" s="1"/>
  <c r="I406" i="13" s="1"/>
  <c r="P406" i="13" s="1"/>
  <c r="AQ13" i="20"/>
  <c r="F409" i="13" s="1"/>
  <c r="I409" i="13" s="1"/>
  <c r="P409" i="13" s="1"/>
  <c r="AO13" i="20"/>
  <c r="F407" i="13" s="1"/>
  <c r="I407" i="13" s="1"/>
  <c r="P407" i="13" s="1"/>
  <c r="AM13" i="20"/>
  <c r="F405" i="13" s="1"/>
  <c r="AJ13" i="20"/>
  <c r="F402" i="13" s="1"/>
  <c r="AT13" i="20"/>
  <c r="F412" i="13" s="1"/>
  <c r="I412" i="13" s="1"/>
  <c r="P412" i="13" s="1"/>
  <c r="AN10" i="20"/>
  <c r="F346" i="13" s="1"/>
  <c r="I346" i="13" s="1"/>
  <c r="P346" i="13" s="1"/>
  <c r="AV10" i="20"/>
  <c r="F354" i="13" s="1"/>
  <c r="I354" i="13" s="1"/>
  <c r="P354" i="13" s="1"/>
  <c r="AO10" i="20"/>
  <c r="F347" i="13" s="1"/>
  <c r="I347" i="13" s="1"/>
  <c r="P347" i="13" s="1"/>
  <c r="AW10" i="20"/>
  <c r="F355" i="13" s="1"/>
  <c r="I355" i="13" s="1"/>
  <c r="P355" i="13" s="1"/>
  <c r="AP10" i="20"/>
  <c r="F348" i="13" s="1"/>
  <c r="I348" i="13" s="1"/>
  <c r="P348" i="13" s="1"/>
  <c r="AX10" i="20"/>
  <c r="F356" i="13" s="1"/>
  <c r="I356" i="13" s="1"/>
  <c r="P356" i="13" s="1"/>
  <c r="AJ10" i="20"/>
  <c r="F342" i="13" s="1"/>
  <c r="AM10" i="20"/>
  <c r="F345" i="13" s="1"/>
  <c r="BC10" i="20"/>
  <c r="F361" i="13" s="1"/>
  <c r="I361" i="13" s="1"/>
  <c r="P361" i="13" s="1"/>
  <c r="AQ10" i="20"/>
  <c r="F349" i="13" s="1"/>
  <c r="I349" i="13" s="1"/>
  <c r="P349" i="13" s="1"/>
  <c r="AY10" i="20"/>
  <c r="F357" i="13" s="1"/>
  <c r="I357" i="13" s="1"/>
  <c r="P357" i="13" s="1"/>
  <c r="AR10" i="20"/>
  <c r="F350" i="13" s="1"/>
  <c r="I350" i="13" s="1"/>
  <c r="P350" i="13" s="1"/>
  <c r="AZ10" i="20"/>
  <c r="F358" i="13" s="1"/>
  <c r="I358" i="13" s="1"/>
  <c r="P358" i="13" s="1"/>
  <c r="AK10" i="20"/>
  <c r="F343" i="13" s="1"/>
  <c r="AS10" i="20"/>
  <c r="F351" i="13" s="1"/>
  <c r="I351" i="13" s="1"/>
  <c r="P351" i="13" s="1"/>
  <c r="BA10" i="20"/>
  <c r="F359" i="13" s="1"/>
  <c r="I359" i="13" s="1"/>
  <c r="P359" i="13" s="1"/>
  <c r="AL10" i="20"/>
  <c r="F344" i="13" s="1"/>
  <c r="AT10" i="20"/>
  <c r="F352" i="13" s="1"/>
  <c r="I352" i="13" s="1"/>
  <c r="P352" i="13" s="1"/>
  <c r="BB10" i="20"/>
  <c r="F360" i="13" s="1"/>
  <c r="I360" i="13" s="1"/>
  <c r="P360" i="13" s="1"/>
  <c r="AU10" i="20"/>
  <c r="F353" i="13" s="1"/>
  <c r="I353" i="13" s="1"/>
  <c r="P353" i="13" s="1"/>
  <c r="AN18" i="20"/>
  <c r="F506" i="13" s="1"/>
  <c r="I506" i="13" s="1"/>
  <c r="P506" i="13" s="1"/>
  <c r="AV18" i="20"/>
  <c r="F514" i="13" s="1"/>
  <c r="I514" i="13" s="1"/>
  <c r="P514" i="13" s="1"/>
  <c r="AO18" i="20"/>
  <c r="F507" i="13" s="1"/>
  <c r="I507" i="13" s="1"/>
  <c r="P507" i="13" s="1"/>
  <c r="AW18" i="20"/>
  <c r="F515" i="13" s="1"/>
  <c r="I515" i="13" s="1"/>
  <c r="P515" i="13" s="1"/>
  <c r="AP18" i="20"/>
  <c r="F508" i="13" s="1"/>
  <c r="I508" i="13" s="1"/>
  <c r="P508" i="13" s="1"/>
  <c r="AX18" i="20"/>
  <c r="F516" i="13" s="1"/>
  <c r="AJ18" i="20"/>
  <c r="F502" i="13" s="1"/>
  <c r="BC18" i="20"/>
  <c r="F521" i="13" s="1"/>
  <c r="I521" i="13" s="1"/>
  <c r="P521" i="13" s="1"/>
  <c r="AQ18" i="20"/>
  <c r="F509" i="13" s="1"/>
  <c r="I509" i="13" s="1"/>
  <c r="P509" i="13" s="1"/>
  <c r="AY18" i="20"/>
  <c r="F517" i="13" s="1"/>
  <c r="I517" i="13" s="1"/>
  <c r="P517" i="13" s="1"/>
  <c r="AU18" i="20"/>
  <c r="F513" i="13" s="1"/>
  <c r="I513" i="13" s="1"/>
  <c r="P513" i="13" s="1"/>
  <c r="AR18" i="20"/>
  <c r="F510" i="13" s="1"/>
  <c r="I510" i="13" s="1"/>
  <c r="P510" i="13" s="1"/>
  <c r="AZ18" i="20"/>
  <c r="F518" i="13" s="1"/>
  <c r="I518" i="13" s="1"/>
  <c r="P518" i="13" s="1"/>
  <c r="AK18" i="20"/>
  <c r="F503" i="13" s="1"/>
  <c r="AS18" i="20"/>
  <c r="F511" i="13" s="1"/>
  <c r="I511" i="13" s="1"/>
  <c r="P511" i="13" s="1"/>
  <c r="BA18" i="20"/>
  <c r="F519" i="13" s="1"/>
  <c r="I519" i="13" s="1"/>
  <c r="P519" i="13" s="1"/>
  <c r="AL18" i="20"/>
  <c r="F504" i="13" s="1"/>
  <c r="AT18" i="20"/>
  <c r="F512" i="13" s="1"/>
  <c r="I512" i="13" s="1"/>
  <c r="P512" i="13" s="1"/>
  <c r="BB18" i="20"/>
  <c r="F520" i="13" s="1"/>
  <c r="I520" i="13" s="1"/>
  <c r="P520" i="13" s="1"/>
  <c r="AM18" i="20"/>
  <c r="F505" i="13" s="1"/>
  <c r="AH11" i="20"/>
  <c r="AI18" i="20"/>
  <c r="AG18" i="20"/>
  <c r="G16" i="20"/>
  <c r="H16" i="20" s="1"/>
  <c r="V16" i="19"/>
  <c r="O163" i="19"/>
  <c r="AG10" i="20"/>
  <c r="AH10" i="20" s="1"/>
  <c r="AI10" i="20"/>
  <c r="K12" i="19"/>
  <c r="J12" i="19"/>
  <c r="K84" i="19"/>
  <c r="J72" i="19"/>
  <c r="K72" i="19"/>
  <c r="H180" i="19"/>
  <c r="I156" i="19"/>
  <c r="I228" i="19"/>
  <c r="H36" i="19"/>
  <c r="H24" i="19"/>
  <c r="I120" i="19"/>
  <c r="A36" i="24" l="1"/>
  <c r="A634" i="13"/>
  <c r="I503" i="13"/>
  <c r="P503" i="13" s="1"/>
  <c r="I516" i="13"/>
  <c r="P516" i="13" s="1"/>
  <c r="I344" i="13"/>
  <c r="P344" i="13" s="1"/>
  <c r="I345" i="13"/>
  <c r="P345" i="13" s="1"/>
  <c r="I505" i="13"/>
  <c r="P505" i="13" s="1"/>
  <c r="I342" i="13"/>
  <c r="P342" i="13" s="1"/>
  <c r="I402" i="13"/>
  <c r="P402" i="13" s="1"/>
  <c r="I404" i="13"/>
  <c r="P404" i="13" s="1"/>
  <c r="I502" i="13"/>
  <c r="P502" i="13" s="1"/>
  <c r="I343" i="13"/>
  <c r="P343" i="13" s="1"/>
  <c r="I405" i="13"/>
  <c r="P405" i="13" s="1"/>
  <c r="I504" i="13"/>
  <c r="P504" i="13" s="1"/>
  <c r="I403" i="13"/>
  <c r="P403" i="13" s="1"/>
  <c r="AQ6" i="20"/>
  <c r="F269" i="13" s="1"/>
  <c r="I269" i="13" s="1"/>
  <c r="P269" i="13" s="1"/>
  <c r="AG6" i="20"/>
  <c r="AH6" i="20" s="1"/>
  <c r="AX6" i="20"/>
  <c r="F276" i="13" s="1"/>
  <c r="I276" i="13" s="1"/>
  <c r="P276" i="13" s="1"/>
  <c r="AW6" i="20"/>
  <c r="F275" i="13" s="1"/>
  <c r="I275" i="13" s="1"/>
  <c r="P275" i="13" s="1"/>
  <c r="AY6" i="20"/>
  <c r="F277" i="13" s="1"/>
  <c r="I277" i="13" s="1"/>
  <c r="P277" i="13" s="1"/>
  <c r="AT6" i="20"/>
  <c r="F272" i="13" s="1"/>
  <c r="I272" i="13" s="1"/>
  <c r="P272" i="13" s="1"/>
  <c r="BA6" i="20"/>
  <c r="F279" i="13" s="1"/>
  <c r="I279" i="13" s="1"/>
  <c r="P279" i="13" s="1"/>
  <c r="AP6" i="20"/>
  <c r="F268" i="13" s="1"/>
  <c r="I268" i="13" s="1"/>
  <c r="P268" i="13" s="1"/>
  <c r="AL6" i="20"/>
  <c r="F264" i="13" s="1"/>
  <c r="AS6" i="20"/>
  <c r="F271" i="13" s="1"/>
  <c r="I271" i="13" s="1"/>
  <c r="P271" i="13" s="1"/>
  <c r="AV6" i="20"/>
  <c r="F274" i="13" s="1"/>
  <c r="I274" i="13" s="1"/>
  <c r="P274" i="13" s="1"/>
  <c r="AK6" i="20"/>
  <c r="F263" i="13" s="1"/>
  <c r="AO6" i="20"/>
  <c r="F267" i="13" s="1"/>
  <c r="I267" i="13" s="1"/>
  <c r="P267" i="13" s="1"/>
  <c r="BC6" i="20"/>
  <c r="F281" i="13" s="1"/>
  <c r="I281" i="13" s="1"/>
  <c r="P281" i="13" s="1"/>
  <c r="AR6" i="20"/>
  <c r="F270" i="13" s="1"/>
  <c r="I270" i="13" s="1"/>
  <c r="P270" i="13" s="1"/>
  <c r="AN6" i="20"/>
  <c r="F266" i="13" s="1"/>
  <c r="I266" i="13" s="1"/>
  <c r="P266" i="13" s="1"/>
  <c r="AZ6" i="20"/>
  <c r="F278" i="13" s="1"/>
  <c r="I278" i="13" s="1"/>
  <c r="P278" i="13" s="1"/>
  <c r="AU6" i="20"/>
  <c r="F273" i="13" s="1"/>
  <c r="I273" i="13" s="1"/>
  <c r="P273" i="13" s="1"/>
  <c r="AJ6" i="20"/>
  <c r="F262" i="13" s="1"/>
  <c r="BB6" i="20"/>
  <c r="F280" i="13" s="1"/>
  <c r="I280" i="13" s="1"/>
  <c r="P280" i="13" s="1"/>
  <c r="AM6" i="20"/>
  <c r="F265" i="13" s="1"/>
  <c r="G7" i="20"/>
  <c r="O55" i="19"/>
  <c r="V6" i="19"/>
  <c r="AG20" i="20"/>
  <c r="AH20" i="20" s="1"/>
  <c r="AS20" i="20"/>
  <c r="F551" i="13" s="1"/>
  <c r="I551" i="13" s="1"/>
  <c r="P551" i="13" s="1"/>
  <c r="AL20" i="20"/>
  <c r="F544" i="13" s="1"/>
  <c r="AQ20" i="20"/>
  <c r="F549" i="13" s="1"/>
  <c r="I549" i="13" s="1"/>
  <c r="P549" i="13" s="1"/>
  <c r="AR20" i="20"/>
  <c r="F550" i="13" s="1"/>
  <c r="I550" i="13" s="1"/>
  <c r="P550" i="13" s="1"/>
  <c r="AT20" i="20"/>
  <c r="F552" i="13" s="1"/>
  <c r="I552" i="13" s="1"/>
  <c r="P552" i="13" s="1"/>
  <c r="O234" i="19"/>
  <c r="AN19" i="20"/>
  <c r="F526" i="13" s="1"/>
  <c r="I526" i="13" s="1"/>
  <c r="P526" i="13" s="1"/>
  <c r="AP20" i="20"/>
  <c r="F548" i="13" s="1"/>
  <c r="I548" i="13" s="1"/>
  <c r="P548" i="13" s="1"/>
  <c r="AM20" i="20"/>
  <c r="F545" i="13" s="1"/>
  <c r="AJ20" i="20"/>
  <c r="F542" i="13" s="1"/>
  <c r="BA20" i="20"/>
  <c r="F559" i="13" s="1"/>
  <c r="I559" i="13" s="1"/>
  <c r="P559" i="13" s="1"/>
  <c r="AN20" i="20"/>
  <c r="F546" i="13" s="1"/>
  <c r="I546" i="13" s="1"/>
  <c r="P546" i="13" s="1"/>
  <c r="AU20" i="20"/>
  <c r="F553" i="13" s="1"/>
  <c r="I553" i="13" s="1"/>
  <c r="P553" i="13" s="1"/>
  <c r="AZ20" i="20"/>
  <c r="F558" i="13" s="1"/>
  <c r="I558" i="13" s="1"/>
  <c r="P558" i="13" s="1"/>
  <c r="AX20" i="20"/>
  <c r="F556" i="13" s="1"/>
  <c r="I556" i="13" s="1"/>
  <c r="P556" i="13" s="1"/>
  <c r="AY20" i="20"/>
  <c r="F557" i="13" s="1"/>
  <c r="I557" i="13" s="1"/>
  <c r="P557" i="13" s="1"/>
  <c r="BC19" i="20"/>
  <c r="F541" i="13" s="1"/>
  <c r="I541" i="13" s="1"/>
  <c r="P541" i="13" s="1"/>
  <c r="BB20" i="20"/>
  <c r="F560" i="13" s="1"/>
  <c r="I560" i="13" s="1"/>
  <c r="P560" i="13" s="1"/>
  <c r="AK20" i="20"/>
  <c r="F543" i="13" s="1"/>
  <c r="AO20" i="20"/>
  <c r="F547" i="13" s="1"/>
  <c r="I547" i="13" s="1"/>
  <c r="P547" i="13" s="1"/>
  <c r="BC20" i="20"/>
  <c r="F561" i="13" s="1"/>
  <c r="I561" i="13" s="1"/>
  <c r="P561" i="13" s="1"/>
  <c r="AW20" i="20"/>
  <c r="F555" i="13" s="1"/>
  <c r="I555" i="13" s="1"/>
  <c r="P555" i="13" s="1"/>
  <c r="AV20" i="20"/>
  <c r="F554" i="13" s="1"/>
  <c r="I554" i="13" s="1"/>
  <c r="P554" i="13" s="1"/>
  <c r="AW19" i="20"/>
  <c r="F535" i="13" s="1"/>
  <c r="I535" i="13" s="1"/>
  <c r="P535" i="13" s="1"/>
  <c r="AL19" i="20"/>
  <c r="F524" i="13" s="1"/>
  <c r="AZ19" i="20"/>
  <c r="F538" i="13" s="1"/>
  <c r="I538" i="13" s="1"/>
  <c r="P538" i="13" s="1"/>
  <c r="AY19" i="20"/>
  <c r="F537" i="13" s="1"/>
  <c r="I537" i="13" s="1"/>
  <c r="P537" i="13" s="1"/>
  <c r="AM19" i="20"/>
  <c r="F525" i="13" s="1"/>
  <c r="I525" i="13" s="1"/>
  <c r="P525" i="13" s="1"/>
  <c r="AS19" i="20"/>
  <c r="F531" i="13" s="1"/>
  <c r="I531" i="13" s="1"/>
  <c r="P531" i="13" s="1"/>
  <c r="AU19" i="20"/>
  <c r="F533" i="13" s="1"/>
  <c r="I533" i="13" s="1"/>
  <c r="P533" i="13" s="1"/>
  <c r="AT19" i="20"/>
  <c r="F532" i="13" s="1"/>
  <c r="I532" i="13" s="1"/>
  <c r="P532" i="13" s="1"/>
  <c r="AJ19" i="20"/>
  <c r="F522" i="13" s="1"/>
  <c r="AX19" i="20"/>
  <c r="F536" i="13" s="1"/>
  <c r="I536" i="13" s="1"/>
  <c r="P536" i="13" s="1"/>
  <c r="AQ19" i="20"/>
  <c r="F529" i="13" s="1"/>
  <c r="I529" i="13" s="1"/>
  <c r="P529" i="13" s="1"/>
  <c r="BB19" i="20"/>
  <c r="F540" i="13" s="1"/>
  <c r="I540" i="13" s="1"/>
  <c r="P540" i="13" s="1"/>
  <c r="AP19" i="20"/>
  <c r="F528" i="13" s="1"/>
  <c r="I528" i="13" s="1"/>
  <c r="P528" i="13" s="1"/>
  <c r="AK19" i="20"/>
  <c r="F523" i="13" s="1"/>
  <c r="BA19" i="20"/>
  <c r="F539" i="13" s="1"/>
  <c r="I539" i="13" s="1"/>
  <c r="P539" i="13" s="1"/>
  <c r="H19" i="20"/>
  <c r="AI19" i="20" s="1"/>
  <c r="AV19" i="20"/>
  <c r="F534" i="13" s="1"/>
  <c r="I534" i="13" s="1"/>
  <c r="P534" i="13" s="1"/>
  <c r="AO19" i="20"/>
  <c r="F527" i="13" s="1"/>
  <c r="I527" i="13" s="1"/>
  <c r="P527" i="13" s="1"/>
  <c r="AG19" i="20"/>
  <c r="AH19" i="20" s="1"/>
  <c r="AL16" i="20"/>
  <c r="F464" i="13" s="1"/>
  <c r="AT16" i="20"/>
  <c r="F472" i="13" s="1"/>
  <c r="I472" i="13" s="1"/>
  <c r="P472" i="13" s="1"/>
  <c r="BB16" i="20"/>
  <c r="F480" i="13" s="1"/>
  <c r="I480" i="13" s="1"/>
  <c r="P480" i="13" s="1"/>
  <c r="AJ16" i="20"/>
  <c r="F462" i="13" s="1"/>
  <c r="AM16" i="20"/>
  <c r="F465" i="13" s="1"/>
  <c r="AU16" i="20"/>
  <c r="F473" i="13" s="1"/>
  <c r="I473" i="13" s="1"/>
  <c r="P473" i="13" s="1"/>
  <c r="BC16" i="20"/>
  <c r="F481" i="13" s="1"/>
  <c r="I481" i="13" s="1"/>
  <c r="P481" i="13" s="1"/>
  <c r="AK16" i="20"/>
  <c r="F463" i="13" s="1"/>
  <c r="AN16" i="20"/>
  <c r="F466" i="13" s="1"/>
  <c r="I466" i="13" s="1"/>
  <c r="P466" i="13" s="1"/>
  <c r="AV16" i="20"/>
  <c r="F474" i="13" s="1"/>
  <c r="I474" i="13" s="1"/>
  <c r="P474" i="13" s="1"/>
  <c r="AO16" i="20"/>
  <c r="F467" i="13" s="1"/>
  <c r="I467" i="13" s="1"/>
  <c r="P467" i="13" s="1"/>
  <c r="AW16" i="20"/>
  <c r="F475" i="13" s="1"/>
  <c r="I475" i="13" s="1"/>
  <c r="P475" i="13" s="1"/>
  <c r="BA16" i="20"/>
  <c r="F479" i="13" s="1"/>
  <c r="I479" i="13" s="1"/>
  <c r="P479" i="13" s="1"/>
  <c r="AP16" i="20"/>
  <c r="F468" i="13" s="1"/>
  <c r="I468" i="13" s="1"/>
  <c r="P468" i="13" s="1"/>
  <c r="AX16" i="20"/>
  <c r="F476" i="13" s="1"/>
  <c r="I476" i="13" s="1"/>
  <c r="P476" i="13" s="1"/>
  <c r="AQ16" i="20"/>
  <c r="F469" i="13" s="1"/>
  <c r="I469" i="13" s="1"/>
  <c r="P469" i="13" s="1"/>
  <c r="AY16" i="20"/>
  <c r="F477" i="13" s="1"/>
  <c r="I477" i="13" s="1"/>
  <c r="P477" i="13" s="1"/>
  <c r="AS16" i="20"/>
  <c r="F471" i="13" s="1"/>
  <c r="I471" i="13" s="1"/>
  <c r="P471" i="13" s="1"/>
  <c r="AR16" i="20"/>
  <c r="F470" i="13" s="1"/>
  <c r="I470" i="13" s="1"/>
  <c r="P470" i="13" s="1"/>
  <c r="AZ16" i="20"/>
  <c r="F478" i="13" s="1"/>
  <c r="I478" i="13" s="1"/>
  <c r="P478" i="13" s="1"/>
  <c r="AH18" i="20"/>
  <c r="L12" i="19"/>
  <c r="J84" i="19"/>
  <c r="L84" i="19"/>
  <c r="I36" i="19"/>
  <c r="I24" i="19"/>
  <c r="J228" i="19"/>
  <c r="K228" i="19"/>
  <c r="J156" i="19"/>
  <c r="K156" i="19"/>
  <c r="K120" i="19"/>
  <c r="J120" i="19"/>
  <c r="I180" i="19"/>
  <c r="A37" i="24" l="1"/>
  <c r="A635" i="13"/>
  <c r="I265" i="13"/>
  <c r="P265" i="13" s="1"/>
  <c r="I543" i="13"/>
  <c r="P543" i="13" s="1"/>
  <c r="I263" i="13"/>
  <c r="P263" i="13" s="1"/>
  <c r="I463" i="13"/>
  <c r="P463" i="13" s="1"/>
  <c r="I542" i="13"/>
  <c r="P542" i="13" s="1"/>
  <c r="I544" i="13"/>
  <c r="P544" i="13" s="1"/>
  <c r="I262" i="13"/>
  <c r="P262" i="13" s="1"/>
  <c r="I523" i="13"/>
  <c r="P523" i="13" s="1"/>
  <c r="I524" i="13"/>
  <c r="P524" i="13" s="1"/>
  <c r="I545" i="13"/>
  <c r="P545" i="13" s="1"/>
  <c r="I522" i="13"/>
  <c r="P522" i="13" s="1"/>
  <c r="I264" i="13"/>
  <c r="P264" i="13" s="1"/>
  <c r="I464" i="13"/>
  <c r="P464" i="13" s="1"/>
  <c r="I465" i="13"/>
  <c r="P465" i="13" s="1"/>
  <c r="I462" i="13"/>
  <c r="P462" i="13" s="1"/>
  <c r="AJ7" i="20"/>
  <c r="F282" i="13" s="1"/>
  <c r="AS7" i="20"/>
  <c r="F291" i="13" s="1"/>
  <c r="I291" i="13" s="1"/>
  <c r="P291" i="13" s="1"/>
  <c r="AW7" i="20"/>
  <c r="F295" i="13" s="1"/>
  <c r="I295" i="13" s="1"/>
  <c r="P295" i="13" s="1"/>
  <c r="AT7" i="20"/>
  <c r="F292" i="13" s="1"/>
  <c r="I292" i="13" s="1"/>
  <c r="P292" i="13" s="1"/>
  <c r="AP7" i="20"/>
  <c r="F288" i="13" s="1"/>
  <c r="I288" i="13" s="1"/>
  <c r="P288" i="13" s="1"/>
  <c r="AG7" i="20"/>
  <c r="AH7" i="20" s="1"/>
  <c r="BB7" i="20"/>
  <c r="F300" i="13" s="1"/>
  <c r="I300" i="13" s="1"/>
  <c r="P300" i="13" s="1"/>
  <c r="AR7" i="20"/>
  <c r="F290" i="13" s="1"/>
  <c r="I290" i="13" s="1"/>
  <c r="P290" i="13" s="1"/>
  <c r="AY7" i="20"/>
  <c r="F297" i="13" s="1"/>
  <c r="I297" i="13" s="1"/>
  <c r="P297" i="13" s="1"/>
  <c r="AK7" i="20"/>
  <c r="F283" i="13" s="1"/>
  <c r="H7" i="20"/>
  <c r="AI7" i="20" s="1"/>
  <c r="AL7" i="20"/>
  <c r="F284" i="13" s="1"/>
  <c r="AM7" i="20"/>
  <c r="F285" i="13" s="1"/>
  <c r="I285" i="13" s="1"/>
  <c r="P285" i="13" s="1"/>
  <c r="AU7" i="20"/>
  <c r="F293" i="13" s="1"/>
  <c r="I293" i="13" s="1"/>
  <c r="P293" i="13" s="1"/>
  <c r="AQ7" i="20"/>
  <c r="F289" i="13" s="1"/>
  <c r="I289" i="13" s="1"/>
  <c r="P289" i="13" s="1"/>
  <c r="AV7" i="20"/>
  <c r="F294" i="13" s="1"/>
  <c r="I294" i="13" s="1"/>
  <c r="P294" i="13" s="1"/>
  <c r="AZ7" i="20"/>
  <c r="F298" i="13" s="1"/>
  <c r="I298" i="13" s="1"/>
  <c r="P298" i="13" s="1"/>
  <c r="AX7" i="20"/>
  <c r="F296" i="13" s="1"/>
  <c r="I296" i="13" s="1"/>
  <c r="P296" i="13" s="1"/>
  <c r="BA7" i="20"/>
  <c r="F299" i="13" s="1"/>
  <c r="I299" i="13" s="1"/>
  <c r="P299" i="13" s="1"/>
  <c r="AO7" i="20"/>
  <c r="F287" i="13" s="1"/>
  <c r="I287" i="13" s="1"/>
  <c r="P287" i="13" s="1"/>
  <c r="BC7" i="20"/>
  <c r="F301" i="13" s="1"/>
  <c r="I301" i="13" s="1"/>
  <c r="P301" i="13" s="1"/>
  <c r="AN7" i="20"/>
  <c r="F286" i="13" s="1"/>
  <c r="I286" i="13" s="1"/>
  <c r="P286" i="13" s="1"/>
  <c r="G22" i="20"/>
  <c r="O235" i="19"/>
  <c r="V23" i="19"/>
  <c r="M12" i="19"/>
  <c r="L120" i="19"/>
  <c r="L228" i="19"/>
  <c r="M84" i="19"/>
  <c r="O78" i="19" s="1"/>
  <c r="G9" i="20" s="1"/>
  <c r="H9" i="20" s="1"/>
  <c r="L72" i="19"/>
  <c r="M72" i="19"/>
  <c r="J180" i="19"/>
  <c r="K180" i="19"/>
  <c r="K36" i="19"/>
  <c r="J36" i="19"/>
  <c r="K24" i="19"/>
  <c r="J24" i="19"/>
  <c r="A38" i="24" l="1"/>
  <c r="A636" i="13"/>
  <c r="I282" i="13"/>
  <c r="P282" i="13" s="1"/>
  <c r="I283" i="13"/>
  <c r="P283" i="13" s="1"/>
  <c r="I284" i="13"/>
  <c r="P284" i="13" s="1"/>
  <c r="H22" i="20"/>
  <c r="AI22" i="20" s="1"/>
  <c r="AZ22" i="20"/>
  <c r="F598" i="13" s="1"/>
  <c r="I598" i="13" s="1"/>
  <c r="P598" i="13" s="1"/>
  <c r="AU22" i="20"/>
  <c r="F593" i="13" s="1"/>
  <c r="I593" i="13" s="1"/>
  <c r="P593" i="13" s="1"/>
  <c r="BC22" i="20"/>
  <c r="F601" i="13" s="1"/>
  <c r="I601" i="13" s="1"/>
  <c r="P601" i="13" s="1"/>
  <c r="AN22" i="20"/>
  <c r="F586" i="13" s="1"/>
  <c r="I586" i="13" s="1"/>
  <c r="P586" i="13" s="1"/>
  <c r="AP22" i="20"/>
  <c r="F588" i="13" s="1"/>
  <c r="I588" i="13" s="1"/>
  <c r="P588" i="13" s="1"/>
  <c r="AO22" i="20"/>
  <c r="F587" i="13" s="1"/>
  <c r="I587" i="13" s="1"/>
  <c r="P587" i="13" s="1"/>
  <c r="AJ22" i="20"/>
  <c r="F582" i="13" s="1"/>
  <c r="BA22" i="20"/>
  <c r="F599" i="13" s="1"/>
  <c r="I599" i="13" s="1"/>
  <c r="P599" i="13" s="1"/>
  <c r="AM22" i="20"/>
  <c r="F585" i="13" s="1"/>
  <c r="AK22" i="20"/>
  <c r="F583" i="13" s="1"/>
  <c r="AY22" i="20"/>
  <c r="F597" i="13" s="1"/>
  <c r="I597" i="13" s="1"/>
  <c r="P597" i="13" s="1"/>
  <c r="AR22" i="20"/>
  <c r="F590" i="13" s="1"/>
  <c r="I590" i="13" s="1"/>
  <c r="P590" i="13" s="1"/>
  <c r="AT22" i="20"/>
  <c r="F592" i="13" s="1"/>
  <c r="I592" i="13" s="1"/>
  <c r="P592" i="13" s="1"/>
  <c r="AQ22" i="20"/>
  <c r="F589" i="13" s="1"/>
  <c r="I589" i="13" s="1"/>
  <c r="P589" i="13" s="1"/>
  <c r="AW22" i="20"/>
  <c r="F595" i="13" s="1"/>
  <c r="I595" i="13" s="1"/>
  <c r="P595" i="13" s="1"/>
  <c r="AS22" i="20"/>
  <c r="F591" i="13" s="1"/>
  <c r="I591" i="13" s="1"/>
  <c r="P591" i="13" s="1"/>
  <c r="AV22" i="20"/>
  <c r="F594" i="13" s="1"/>
  <c r="I594" i="13" s="1"/>
  <c r="P594" i="13" s="1"/>
  <c r="BB22" i="20"/>
  <c r="F600" i="13" s="1"/>
  <c r="I600" i="13" s="1"/>
  <c r="P600" i="13" s="1"/>
  <c r="AL22" i="20"/>
  <c r="F584" i="13" s="1"/>
  <c r="AX22" i="20"/>
  <c r="F596" i="13" s="1"/>
  <c r="I596" i="13" s="1"/>
  <c r="P596" i="13" s="1"/>
  <c r="AG22" i="20"/>
  <c r="AH22" i="20" s="1"/>
  <c r="AQ9" i="20"/>
  <c r="F329" i="13" s="1"/>
  <c r="I329" i="13" s="1"/>
  <c r="P329" i="13" s="1"/>
  <c r="AY9" i="20"/>
  <c r="F337" i="13" s="1"/>
  <c r="AR9" i="20"/>
  <c r="F330" i="13" s="1"/>
  <c r="I330" i="13" s="1"/>
  <c r="P330" i="13" s="1"/>
  <c r="AZ9" i="20"/>
  <c r="F338" i="13" s="1"/>
  <c r="I338" i="13" s="1"/>
  <c r="P338" i="13" s="1"/>
  <c r="AJ9" i="20"/>
  <c r="F322" i="13" s="1"/>
  <c r="AK9" i="20"/>
  <c r="F323" i="13" s="1"/>
  <c r="AS9" i="20"/>
  <c r="F331" i="13" s="1"/>
  <c r="I331" i="13" s="1"/>
  <c r="P331" i="13" s="1"/>
  <c r="BA9" i="20"/>
  <c r="F339" i="13" s="1"/>
  <c r="I339" i="13" s="1"/>
  <c r="P339" i="13" s="1"/>
  <c r="AL9" i="20"/>
  <c r="F324" i="13" s="1"/>
  <c r="AT9" i="20"/>
  <c r="F332" i="13" s="1"/>
  <c r="I332" i="13" s="1"/>
  <c r="P332" i="13" s="1"/>
  <c r="BB9" i="20"/>
  <c r="F340" i="13" s="1"/>
  <c r="I340" i="13" s="1"/>
  <c r="P340" i="13" s="1"/>
  <c r="AX9" i="20"/>
  <c r="F336" i="13" s="1"/>
  <c r="I336" i="13" s="1"/>
  <c r="P336" i="13" s="1"/>
  <c r="AM9" i="20"/>
  <c r="F325" i="13" s="1"/>
  <c r="AU9" i="20"/>
  <c r="F333" i="13" s="1"/>
  <c r="I333" i="13" s="1"/>
  <c r="P333" i="13" s="1"/>
  <c r="BC9" i="20"/>
  <c r="F341" i="13" s="1"/>
  <c r="I341" i="13" s="1"/>
  <c r="P341" i="13" s="1"/>
  <c r="AN9" i="20"/>
  <c r="F326" i="13" s="1"/>
  <c r="I326" i="13" s="1"/>
  <c r="P326" i="13" s="1"/>
  <c r="AV9" i="20"/>
  <c r="F334" i="13" s="1"/>
  <c r="I334" i="13" s="1"/>
  <c r="P334" i="13" s="1"/>
  <c r="AP9" i="20"/>
  <c r="F328" i="13" s="1"/>
  <c r="I328" i="13" s="1"/>
  <c r="P328" i="13" s="1"/>
  <c r="AO9" i="20"/>
  <c r="F327" i="13" s="1"/>
  <c r="I327" i="13" s="1"/>
  <c r="P327" i="13" s="1"/>
  <c r="AW9" i="20"/>
  <c r="F335" i="13" s="1"/>
  <c r="I335" i="13" s="1"/>
  <c r="P335" i="13" s="1"/>
  <c r="O6" i="19"/>
  <c r="G3" i="20" s="1"/>
  <c r="AI9" i="20"/>
  <c r="AG9" i="20"/>
  <c r="O66" i="19"/>
  <c r="G8" i="20" s="1"/>
  <c r="H8" i="20" s="1"/>
  <c r="M120" i="19"/>
  <c r="O114" i="19" s="1"/>
  <c r="V8" i="19"/>
  <c r="O79" i="19"/>
  <c r="M228" i="19"/>
  <c r="O222" i="19" s="1"/>
  <c r="L36" i="19"/>
  <c r="L180" i="19"/>
  <c r="L156" i="19"/>
  <c r="M156" i="19"/>
  <c r="L24" i="19"/>
  <c r="A39" i="24" l="1"/>
  <c r="A637" i="13"/>
  <c r="I585" i="13"/>
  <c r="P585" i="13" s="1"/>
  <c r="I337" i="13"/>
  <c r="P337" i="13" s="1"/>
  <c r="I582" i="13"/>
  <c r="P582" i="13" s="1"/>
  <c r="I324" i="13"/>
  <c r="P324" i="13" s="1"/>
  <c r="I323" i="13"/>
  <c r="P323" i="13" s="1"/>
  <c r="I584" i="13"/>
  <c r="P584" i="13" s="1"/>
  <c r="I325" i="13"/>
  <c r="P325" i="13" s="1"/>
  <c r="I322" i="13"/>
  <c r="P322" i="13" s="1"/>
  <c r="I583" i="13"/>
  <c r="P583" i="13" s="1"/>
  <c r="H3" i="20"/>
  <c r="AI3" i="20" s="1"/>
  <c r="AJ3" i="20"/>
  <c r="F202" i="13" s="1"/>
  <c r="AG3" i="20"/>
  <c r="AH3" i="20" s="1"/>
  <c r="AK3" i="20"/>
  <c r="F203" i="13" s="1"/>
  <c r="I203" i="13" s="1"/>
  <c r="AS3" i="20"/>
  <c r="F211" i="13" s="1"/>
  <c r="BA3" i="20"/>
  <c r="F219" i="13" s="1"/>
  <c r="AL3" i="20"/>
  <c r="F204" i="13" s="1"/>
  <c r="I204" i="13" s="1"/>
  <c r="AT3" i="20"/>
  <c r="F212" i="13" s="1"/>
  <c r="BB3" i="20"/>
  <c r="F220" i="13" s="1"/>
  <c r="AM3" i="20"/>
  <c r="F205" i="13" s="1"/>
  <c r="AU3" i="20"/>
  <c r="F213" i="13" s="1"/>
  <c r="BC3" i="20"/>
  <c r="F221" i="13" s="1"/>
  <c r="I221" i="13" s="1"/>
  <c r="AN3" i="20"/>
  <c r="F206" i="13" s="1"/>
  <c r="AV3" i="20"/>
  <c r="F214" i="13" s="1"/>
  <c r="AR3" i="20"/>
  <c r="F210" i="13" s="1"/>
  <c r="AO3" i="20"/>
  <c r="F207" i="13" s="1"/>
  <c r="AW3" i="20"/>
  <c r="F215" i="13" s="1"/>
  <c r="AZ3" i="20"/>
  <c r="F218" i="13" s="1"/>
  <c r="AP3" i="20"/>
  <c r="F208" i="13" s="1"/>
  <c r="AX3" i="20"/>
  <c r="F216" i="13" s="1"/>
  <c r="AQ3" i="20"/>
  <c r="F209" i="13" s="1"/>
  <c r="AY3" i="20"/>
  <c r="F217" i="13" s="1"/>
  <c r="AL8" i="20"/>
  <c r="F304" i="13" s="1"/>
  <c r="I304" i="13" s="1"/>
  <c r="P304" i="13" s="1"/>
  <c r="AT8" i="20"/>
  <c r="F312" i="13" s="1"/>
  <c r="I312" i="13" s="1"/>
  <c r="P312" i="13" s="1"/>
  <c r="BB8" i="20"/>
  <c r="F320" i="13" s="1"/>
  <c r="I320" i="13" s="1"/>
  <c r="P320" i="13" s="1"/>
  <c r="AJ8" i="20"/>
  <c r="F302" i="13" s="1"/>
  <c r="AS8" i="20"/>
  <c r="F311" i="13" s="1"/>
  <c r="I311" i="13" s="1"/>
  <c r="P311" i="13" s="1"/>
  <c r="AM8" i="20"/>
  <c r="F305" i="13" s="1"/>
  <c r="AU8" i="20"/>
  <c r="F313" i="13" s="1"/>
  <c r="I313" i="13" s="1"/>
  <c r="P313" i="13" s="1"/>
  <c r="BC8" i="20"/>
  <c r="F321" i="13" s="1"/>
  <c r="I321" i="13" s="1"/>
  <c r="P321" i="13" s="1"/>
  <c r="BA8" i="20"/>
  <c r="F319" i="13" s="1"/>
  <c r="I319" i="13" s="1"/>
  <c r="P319" i="13" s="1"/>
  <c r="AN8" i="20"/>
  <c r="F306" i="13" s="1"/>
  <c r="AV8" i="20"/>
  <c r="F314" i="13" s="1"/>
  <c r="I314" i="13" s="1"/>
  <c r="P314" i="13" s="1"/>
  <c r="AK8" i="20"/>
  <c r="F303" i="13" s="1"/>
  <c r="AO8" i="20"/>
  <c r="F307" i="13" s="1"/>
  <c r="I307" i="13" s="1"/>
  <c r="P307" i="13" s="1"/>
  <c r="AW8" i="20"/>
  <c r="F315" i="13" s="1"/>
  <c r="I315" i="13" s="1"/>
  <c r="P315" i="13" s="1"/>
  <c r="AP8" i="20"/>
  <c r="F308" i="13" s="1"/>
  <c r="I308" i="13" s="1"/>
  <c r="P308" i="13" s="1"/>
  <c r="AX8" i="20"/>
  <c r="F316" i="13" s="1"/>
  <c r="I316" i="13" s="1"/>
  <c r="P316" i="13" s="1"/>
  <c r="AQ8" i="20"/>
  <c r="F309" i="13" s="1"/>
  <c r="I309" i="13" s="1"/>
  <c r="P309" i="13" s="1"/>
  <c r="AY8" i="20"/>
  <c r="F317" i="13" s="1"/>
  <c r="I317" i="13" s="1"/>
  <c r="P317" i="13" s="1"/>
  <c r="AR8" i="20"/>
  <c r="F310" i="13" s="1"/>
  <c r="I310" i="13" s="1"/>
  <c r="P310" i="13" s="1"/>
  <c r="AZ8" i="20"/>
  <c r="F318" i="13" s="1"/>
  <c r="I318" i="13" s="1"/>
  <c r="P318" i="13" s="1"/>
  <c r="O7" i="19"/>
  <c r="V2" i="19"/>
  <c r="O150" i="19"/>
  <c r="G15" i="20" s="1"/>
  <c r="H15" i="20" s="1"/>
  <c r="G21" i="20"/>
  <c r="H21" i="20" s="1"/>
  <c r="V22" i="19"/>
  <c r="O223" i="19"/>
  <c r="G12" i="20"/>
  <c r="H12" i="20" s="1"/>
  <c r="V12" i="19"/>
  <c r="O115" i="19"/>
  <c r="V7" i="19"/>
  <c r="AH9" i="20"/>
  <c r="O67" i="19"/>
  <c r="AI8" i="20"/>
  <c r="AG8" i="20"/>
  <c r="AH8" i="20" s="1"/>
  <c r="M24" i="19"/>
  <c r="O18" i="19" s="1"/>
  <c r="G4" i="20" s="1"/>
  <c r="H4" i="20" s="1"/>
  <c r="M36" i="19"/>
  <c r="O30" i="19" s="1"/>
  <c r="M180" i="19"/>
  <c r="O174" i="19" s="1"/>
  <c r="I209" i="13" l="1"/>
  <c r="I206" i="13"/>
  <c r="I211" i="13"/>
  <c r="I216" i="13"/>
  <c r="I208" i="13"/>
  <c r="I213" i="13"/>
  <c r="I218" i="13"/>
  <c r="I205" i="13"/>
  <c r="I215" i="13"/>
  <c r="I220" i="13"/>
  <c r="I207" i="13"/>
  <c r="I212" i="13"/>
  <c r="I210" i="13"/>
  <c r="I217" i="13"/>
  <c r="I214" i="13"/>
  <c r="I219" i="13"/>
  <c r="A40" i="24"/>
  <c r="A638" i="13"/>
  <c r="I305" i="13"/>
  <c r="P305" i="13" s="1"/>
  <c r="I303" i="13"/>
  <c r="P303" i="13" s="1"/>
  <c r="I302" i="13"/>
  <c r="P302" i="13" s="1"/>
  <c r="I202" i="13"/>
  <c r="I306" i="13"/>
  <c r="P306" i="13" s="1"/>
  <c r="AM21" i="20"/>
  <c r="F565" i="13" s="1"/>
  <c r="AU21" i="20"/>
  <c r="F573" i="13" s="1"/>
  <c r="I573" i="13" s="1"/>
  <c r="P573" i="13" s="1"/>
  <c r="BC21" i="20"/>
  <c r="F581" i="13" s="1"/>
  <c r="I581" i="13" s="1"/>
  <c r="P581" i="13" s="1"/>
  <c r="AL21" i="20"/>
  <c r="F564" i="13" s="1"/>
  <c r="AN21" i="20"/>
  <c r="F566" i="13" s="1"/>
  <c r="I566" i="13" s="1"/>
  <c r="P566" i="13" s="1"/>
  <c r="AV21" i="20"/>
  <c r="F574" i="13" s="1"/>
  <c r="I574" i="13" s="1"/>
  <c r="P574" i="13" s="1"/>
  <c r="AO21" i="20"/>
  <c r="F567" i="13" s="1"/>
  <c r="I567" i="13" s="1"/>
  <c r="P567" i="13" s="1"/>
  <c r="AW21" i="20"/>
  <c r="F575" i="13" s="1"/>
  <c r="I575" i="13" s="1"/>
  <c r="P575" i="13" s="1"/>
  <c r="BB21" i="20"/>
  <c r="F580" i="13" s="1"/>
  <c r="I580" i="13" s="1"/>
  <c r="P580" i="13" s="1"/>
  <c r="AP21" i="20"/>
  <c r="F568" i="13" s="1"/>
  <c r="I568" i="13" s="1"/>
  <c r="P568" i="13" s="1"/>
  <c r="AX21" i="20"/>
  <c r="F576" i="13" s="1"/>
  <c r="I576" i="13" s="1"/>
  <c r="P576" i="13" s="1"/>
  <c r="AQ21" i="20"/>
  <c r="F569" i="13" s="1"/>
  <c r="I569" i="13" s="1"/>
  <c r="P569" i="13" s="1"/>
  <c r="AY21" i="20"/>
  <c r="F577" i="13" s="1"/>
  <c r="I577" i="13" s="1"/>
  <c r="P577" i="13" s="1"/>
  <c r="AR21" i="20"/>
  <c r="F570" i="13" s="1"/>
  <c r="I570" i="13" s="1"/>
  <c r="P570" i="13" s="1"/>
  <c r="AZ21" i="20"/>
  <c r="F578" i="13" s="1"/>
  <c r="I578" i="13" s="1"/>
  <c r="P578" i="13" s="1"/>
  <c r="AJ21" i="20"/>
  <c r="F562" i="13" s="1"/>
  <c r="AK21" i="20"/>
  <c r="F563" i="13" s="1"/>
  <c r="AS21" i="20"/>
  <c r="F571" i="13" s="1"/>
  <c r="I571" i="13" s="1"/>
  <c r="P571" i="13" s="1"/>
  <c r="BA21" i="20"/>
  <c r="F579" i="13" s="1"/>
  <c r="I579" i="13" s="1"/>
  <c r="P579" i="13" s="1"/>
  <c r="AT21" i="20"/>
  <c r="F572" i="13" s="1"/>
  <c r="I572" i="13" s="1"/>
  <c r="P572" i="13" s="1"/>
  <c r="AO15" i="20"/>
  <c r="F447" i="13" s="1"/>
  <c r="I447" i="13" s="1"/>
  <c r="P447" i="13" s="1"/>
  <c r="AW15" i="20"/>
  <c r="F455" i="13" s="1"/>
  <c r="I455" i="13" s="1"/>
  <c r="P455" i="13" s="1"/>
  <c r="AJ15" i="20"/>
  <c r="F442" i="13" s="1"/>
  <c r="AP15" i="20"/>
  <c r="F448" i="13" s="1"/>
  <c r="I448" i="13" s="1"/>
  <c r="P448" i="13" s="1"/>
  <c r="AX15" i="20"/>
  <c r="F456" i="13" s="1"/>
  <c r="I456" i="13" s="1"/>
  <c r="P456" i="13" s="1"/>
  <c r="AQ15" i="20"/>
  <c r="F449" i="13" s="1"/>
  <c r="I449" i="13" s="1"/>
  <c r="P449" i="13" s="1"/>
  <c r="AY15" i="20"/>
  <c r="F457" i="13" s="1"/>
  <c r="I457" i="13" s="1"/>
  <c r="P457" i="13" s="1"/>
  <c r="AN15" i="20"/>
  <c r="F446" i="13" s="1"/>
  <c r="I446" i="13" s="1"/>
  <c r="P446" i="13" s="1"/>
  <c r="AR15" i="20"/>
  <c r="F450" i="13" s="1"/>
  <c r="I450" i="13" s="1"/>
  <c r="P450" i="13" s="1"/>
  <c r="AZ15" i="20"/>
  <c r="F458" i="13" s="1"/>
  <c r="I458" i="13" s="1"/>
  <c r="P458" i="13" s="1"/>
  <c r="AK15" i="20"/>
  <c r="F443" i="13" s="1"/>
  <c r="AS15" i="20"/>
  <c r="F451" i="13" s="1"/>
  <c r="I451" i="13" s="1"/>
  <c r="P451" i="13" s="1"/>
  <c r="BA15" i="20"/>
  <c r="F459" i="13" s="1"/>
  <c r="I459" i="13" s="1"/>
  <c r="P459" i="13" s="1"/>
  <c r="AL15" i="20"/>
  <c r="F444" i="13" s="1"/>
  <c r="AT15" i="20"/>
  <c r="F452" i="13" s="1"/>
  <c r="I452" i="13" s="1"/>
  <c r="P452" i="13" s="1"/>
  <c r="BB15" i="20"/>
  <c r="F460" i="13" s="1"/>
  <c r="I460" i="13" s="1"/>
  <c r="P460" i="13" s="1"/>
  <c r="AM15" i="20"/>
  <c r="F445" i="13" s="1"/>
  <c r="I445" i="13" s="1"/>
  <c r="P445" i="13" s="1"/>
  <c r="AU15" i="20"/>
  <c r="F453" i="13" s="1"/>
  <c r="I453" i="13" s="1"/>
  <c r="P453" i="13" s="1"/>
  <c r="BC15" i="20"/>
  <c r="F461" i="13" s="1"/>
  <c r="I461" i="13" s="1"/>
  <c r="P461" i="13" s="1"/>
  <c r="AV15" i="20"/>
  <c r="F454" i="13" s="1"/>
  <c r="I454" i="13" s="1"/>
  <c r="P454" i="13" s="1"/>
  <c r="AP4" i="20"/>
  <c r="F228" i="13" s="1"/>
  <c r="I228" i="13" s="1"/>
  <c r="AX4" i="20"/>
  <c r="F236" i="13" s="1"/>
  <c r="I236" i="13" s="1"/>
  <c r="AQ4" i="20"/>
  <c r="F229" i="13" s="1"/>
  <c r="I229" i="13" s="1"/>
  <c r="AY4" i="20"/>
  <c r="F237" i="13" s="1"/>
  <c r="I237" i="13" s="1"/>
  <c r="AR4" i="20"/>
  <c r="F230" i="13" s="1"/>
  <c r="I230" i="13" s="1"/>
  <c r="AZ4" i="20"/>
  <c r="F238" i="13" s="1"/>
  <c r="I238" i="13" s="1"/>
  <c r="AO4" i="20"/>
  <c r="F227" i="13" s="1"/>
  <c r="I227" i="13" s="1"/>
  <c r="AK4" i="20"/>
  <c r="F223" i="13" s="1"/>
  <c r="I223" i="13" s="1"/>
  <c r="AS4" i="20"/>
  <c r="F231" i="13" s="1"/>
  <c r="I231" i="13" s="1"/>
  <c r="BA4" i="20"/>
  <c r="F239" i="13" s="1"/>
  <c r="I239" i="13" s="1"/>
  <c r="AL4" i="20"/>
  <c r="F224" i="13" s="1"/>
  <c r="I224" i="13" s="1"/>
  <c r="AT4" i="20"/>
  <c r="F232" i="13" s="1"/>
  <c r="I232" i="13" s="1"/>
  <c r="BB4" i="20"/>
  <c r="F240" i="13" s="1"/>
  <c r="I240" i="13" s="1"/>
  <c r="AJ4" i="20"/>
  <c r="F222" i="13" s="1"/>
  <c r="I222" i="13" s="1"/>
  <c r="AM4" i="20"/>
  <c r="F225" i="13" s="1"/>
  <c r="I225" i="13" s="1"/>
  <c r="AU4" i="20"/>
  <c r="F233" i="13" s="1"/>
  <c r="I233" i="13" s="1"/>
  <c r="BC4" i="20"/>
  <c r="F241" i="13" s="1"/>
  <c r="I241" i="13" s="1"/>
  <c r="AW4" i="20"/>
  <c r="F235" i="13" s="1"/>
  <c r="I235" i="13" s="1"/>
  <c r="AN4" i="20"/>
  <c r="F226" i="13" s="1"/>
  <c r="I226" i="13" s="1"/>
  <c r="AV4" i="20"/>
  <c r="F234" i="13" s="1"/>
  <c r="I234" i="13" s="1"/>
  <c r="AP12" i="20"/>
  <c r="F388" i="13" s="1"/>
  <c r="I388" i="13" s="1"/>
  <c r="P388" i="13" s="1"/>
  <c r="AX12" i="20"/>
  <c r="F396" i="13" s="1"/>
  <c r="I396" i="13" s="1"/>
  <c r="P396" i="13" s="1"/>
  <c r="AO12" i="20"/>
  <c r="F387" i="13" s="1"/>
  <c r="I387" i="13" s="1"/>
  <c r="P387" i="13" s="1"/>
  <c r="AQ12" i="20"/>
  <c r="F389" i="13" s="1"/>
  <c r="I389" i="13" s="1"/>
  <c r="P389" i="13" s="1"/>
  <c r="AY12" i="20"/>
  <c r="F397" i="13" s="1"/>
  <c r="I397" i="13" s="1"/>
  <c r="P397" i="13" s="1"/>
  <c r="AW12" i="20"/>
  <c r="F395" i="13" s="1"/>
  <c r="I395" i="13" s="1"/>
  <c r="P395" i="13" s="1"/>
  <c r="AR12" i="20"/>
  <c r="F390" i="13" s="1"/>
  <c r="I390" i="13" s="1"/>
  <c r="P390" i="13" s="1"/>
  <c r="AZ12" i="20"/>
  <c r="F398" i="13" s="1"/>
  <c r="I398" i="13" s="1"/>
  <c r="P398" i="13" s="1"/>
  <c r="AK12" i="20"/>
  <c r="F383" i="13" s="1"/>
  <c r="AS12" i="20"/>
  <c r="F391" i="13" s="1"/>
  <c r="I391" i="13" s="1"/>
  <c r="P391" i="13" s="1"/>
  <c r="BA12" i="20"/>
  <c r="F399" i="13" s="1"/>
  <c r="I399" i="13" s="1"/>
  <c r="P399" i="13" s="1"/>
  <c r="AL12" i="20"/>
  <c r="F384" i="13" s="1"/>
  <c r="I384" i="13" s="1"/>
  <c r="P384" i="13" s="1"/>
  <c r="AT12" i="20"/>
  <c r="F392" i="13" s="1"/>
  <c r="I392" i="13" s="1"/>
  <c r="P392" i="13" s="1"/>
  <c r="BB12" i="20"/>
  <c r="F400" i="13" s="1"/>
  <c r="I400" i="13" s="1"/>
  <c r="P400" i="13" s="1"/>
  <c r="AJ12" i="20"/>
  <c r="F382" i="13" s="1"/>
  <c r="AM12" i="20"/>
  <c r="F385" i="13" s="1"/>
  <c r="AU12" i="20"/>
  <c r="F393" i="13" s="1"/>
  <c r="I393" i="13" s="1"/>
  <c r="P393" i="13" s="1"/>
  <c r="BC12" i="20"/>
  <c r="F401" i="13" s="1"/>
  <c r="I401" i="13" s="1"/>
  <c r="P401" i="13" s="1"/>
  <c r="AN12" i="20"/>
  <c r="F386" i="13" s="1"/>
  <c r="I386" i="13" s="1"/>
  <c r="P386" i="13" s="1"/>
  <c r="AV12" i="20"/>
  <c r="F394" i="13" s="1"/>
  <c r="I394" i="13" s="1"/>
  <c r="P394" i="13" s="1"/>
  <c r="V15" i="19"/>
  <c r="O151" i="19"/>
  <c r="AG21" i="20"/>
  <c r="AH21" i="20" s="1"/>
  <c r="AI21" i="20"/>
  <c r="G17" i="20"/>
  <c r="H17" i="20" s="1"/>
  <c r="O175" i="19"/>
  <c r="V17" i="19"/>
  <c r="AI12" i="20"/>
  <c r="AG12" i="20"/>
  <c r="G5" i="20"/>
  <c r="H5" i="20" s="1"/>
  <c r="V4" i="19"/>
  <c r="O31" i="19"/>
  <c r="AG15" i="20"/>
  <c r="AI15" i="20"/>
  <c r="O19" i="19"/>
  <c r="V3" i="19"/>
  <c r="A25" i="12"/>
  <c r="A20" i="12"/>
  <c r="A15" i="12"/>
  <c r="A10" i="12"/>
  <c r="D4" i="3"/>
  <c r="F11" i="2"/>
  <c r="F13" i="2"/>
  <c r="F15" i="2"/>
  <c r="F17" i="2"/>
  <c r="F19" i="2"/>
  <c r="F21" i="2"/>
  <c r="F23" i="2"/>
  <c r="F25" i="2"/>
  <c r="F27" i="2"/>
  <c r="F9" i="2"/>
  <c r="A41" i="24" l="1"/>
  <c r="A639" i="13"/>
  <c r="I564" i="13"/>
  <c r="P564" i="13" s="1"/>
  <c r="I382" i="13"/>
  <c r="P382" i="13" s="1"/>
  <c r="I383" i="13"/>
  <c r="P383" i="13" s="1"/>
  <c r="I444" i="13"/>
  <c r="P444" i="13" s="1"/>
  <c r="I563" i="13"/>
  <c r="P563" i="13" s="1"/>
  <c r="I565" i="13"/>
  <c r="P565" i="13" s="1"/>
  <c r="I562" i="13"/>
  <c r="P562" i="13" s="1"/>
  <c r="I385" i="13"/>
  <c r="P385" i="13" s="1"/>
  <c r="I443" i="13"/>
  <c r="P443" i="13" s="1"/>
  <c r="I442" i="13"/>
  <c r="P442" i="13" s="1"/>
  <c r="AQ17" i="20"/>
  <c r="F489" i="13" s="1"/>
  <c r="I489" i="13" s="1"/>
  <c r="P489" i="13" s="1"/>
  <c r="AY17" i="20"/>
  <c r="F497" i="13" s="1"/>
  <c r="I497" i="13" s="1"/>
  <c r="P497" i="13" s="1"/>
  <c r="AX17" i="20"/>
  <c r="F496" i="13" s="1"/>
  <c r="I496" i="13" s="1"/>
  <c r="P496" i="13" s="1"/>
  <c r="AR17" i="20"/>
  <c r="F490" i="13" s="1"/>
  <c r="I490" i="13" s="1"/>
  <c r="P490" i="13" s="1"/>
  <c r="AZ17" i="20"/>
  <c r="F498" i="13" s="1"/>
  <c r="I498" i="13" s="1"/>
  <c r="P498" i="13" s="1"/>
  <c r="AJ17" i="20"/>
  <c r="F482" i="13" s="1"/>
  <c r="AK17" i="20"/>
  <c r="F483" i="13" s="1"/>
  <c r="AS17" i="20"/>
  <c r="F491" i="13" s="1"/>
  <c r="I491" i="13" s="1"/>
  <c r="P491" i="13" s="1"/>
  <c r="BA17" i="20"/>
  <c r="F499" i="13" s="1"/>
  <c r="I499" i="13" s="1"/>
  <c r="P499" i="13" s="1"/>
  <c r="AP17" i="20"/>
  <c r="F488" i="13" s="1"/>
  <c r="I488" i="13" s="1"/>
  <c r="P488" i="13" s="1"/>
  <c r="AL17" i="20"/>
  <c r="F484" i="13" s="1"/>
  <c r="AT17" i="20"/>
  <c r="F492" i="13" s="1"/>
  <c r="I492" i="13" s="1"/>
  <c r="P492" i="13" s="1"/>
  <c r="BB17" i="20"/>
  <c r="F500" i="13" s="1"/>
  <c r="I500" i="13" s="1"/>
  <c r="P500" i="13" s="1"/>
  <c r="AM17" i="20"/>
  <c r="F485" i="13" s="1"/>
  <c r="I485" i="13" s="1"/>
  <c r="P485" i="13" s="1"/>
  <c r="AU17" i="20"/>
  <c r="F493" i="13" s="1"/>
  <c r="I493" i="13" s="1"/>
  <c r="P493" i="13" s="1"/>
  <c r="BC17" i="20"/>
  <c r="F501" i="13" s="1"/>
  <c r="I501" i="13" s="1"/>
  <c r="P501" i="13" s="1"/>
  <c r="AN17" i="20"/>
  <c r="F486" i="13" s="1"/>
  <c r="I486" i="13" s="1"/>
  <c r="P486" i="13" s="1"/>
  <c r="AV17" i="20"/>
  <c r="F494" i="13" s="1"/>
  <c r="I494" i="13" s="1"/>
  <c r="P494" i="13" s="1"/>
  <c r="AO17" i="20"/>
  <c r="F487" i="13" s="1"/>
  <c r="I487" i="13" s="1"/>
  <c r="P487" i="13" s="1"/>
  <c r="AW17" i="20"/>
  <c r="F495" i="13" s="1"/>
  <c r="I495" i="13" s="1"/>
  <c r="P495" i="13" s="1"/>
  <c r="AM5" i="20"/>
  <c r="F245" i="13" s="1"/>
  <c r="U48" i="13" s="1"/>
  <c r="AU5" i="20"/>
  <c r="F253" i="13" s="1"/>
  <c r="BC5" i="20"/>
  <c r="F261" i="13" s="1"/>
  <c r="I261" i="13" s="1"/>
  <c r="P261" i="13" s="1"/>
  <c r="AT5" i="20"/>
  <c r="F252" i="13" s="1"/>
  <c r="AN5" i="20"/>
  <c r="F246" i="13" s="1"/>
  <c r="I246" i="13" s="1"/>
  <c r="P246" i="13" s="1"/>
  <c r="AV5" i="20"/>
  <c r="F254" i="13" s="1"/>
  <c r="AL5" i="20"/>
  <c r="F244" i="13" s="1"/>
  <c r="AO5" i="20"/>
  <c r="F247" i="13" s="1"/>
  <c r="I247" i="13" s="1"/>
  <c r="P247" i="13" s="1"/>
  <c r="AW5" i="20"/>
  <c r="F255" i="13" s="1"/>
  <c r="AP5" i="20"/>
  <c r="F248" i="13" s="1"/>
  <c r="I248" i="13" s="1"/>
  <c r="P248" i="13" s="1"/>
  <c r="AX5" i="20"/>
  <c r="F256" i="13" s="1"/>
  <c r="AQ5" i="20"/>
  <c r="F249" i="13" s="1"/>
  <c r="I249" i="13" s="1"/>
  <c r="P249" i="13" s="1"/>
  <c r="AY5" i="20"/>
  <c r="F257" i="13" s="1"/>
  <c r="U60" i="13" s="1"/>
  <c r="AR5" i="20"/>
  <c r="F250" i="13" s="1"/>
  <c r="I250" i="13" s="1"/>
  <c r="P250" i="13" s="1"/>
  <c r="AZ5" i="20"/>
  <c r="F258" i="13" s="1"/>
  <c r="AJ5" i="20"/>
  <c r="F242" i="13" s="1"/>
  <c r="AK5" i="20"/>
  <c r="F243" i="13" s="1"/>
  <c r="AS5" i="20"/>
  <c r="F251" i="13" s="1"/>
  <c r="I251" i="13" s="1"/>
  <c r="P251" i="13" s="1"/>
  <c r="BA5" i="20"/>
  <c r="F259" i="13" s="1"/>
  <c r="BB5" i="20"/>
  <c r="F260" i="13" s="1"/>
  <c r="I260" i="13" s="1"/>
  <c r="P260" i="13" s="1"/>
  <c r="AI17" i="20"/>
  <c r="AG17" i="20"/>
  <c r="AH12" i="20"/>
  <c r="AG5" i="20"/>
  <c r="AH5" i="20" s="1"/>
  <c r="AI5" i="20"/>
  <c r="AG16" i="20"/>
  <c r="AI16" i="20"/>
  <c r="AH15" i="20"/>
  <c r="G23" i="20"/>
  <c r="AG4" i="20"/>
  <c r="U52" i="13" l="1"/>
  <c r="I258" i="13"/>
  <c r="P258" i="13" s="1"/>
  <c r="U61" i="13"/>
  <c r="U51" i="13"/>
  <c r="I254" i="13"/>
  <c r="P254" i="13" s="1"/>
  <c r="U57" i="13"/>
  <c r="U53" i="13"/>
  <c r="U63" i="13"/>
  <c r="U49" i="13"/>
  <c r="I256" i="13"/>
  <c r="P256" i="13" s="1"/>
  <c r="U59" i="13"/>
  <c r="U50" i="13"/>
  <c r="I259" i="13"/>
  <c r="P259" i="13" s="1"/>
  <c r="U62" i="13"/>
  <c r="I253" i="13"/>
  <c r="P253" i="13" s="1"/>
  <c r="U56" i="13"/>
  <c r="U54" i="13"/>
  <c r="I252" i="13"/>
  <c r="P252" i="13" s="1"/>
  <c r="U55" i="13"/>
  <c r="I255" i="13"/>
  <c r="P255" i="13" s="1"/>
  <c r="U58" i="13"/>
  <c r="A42" i="24"/>
  <c r="A640" i="13"/>
  <c r="I242" i="13"/>
  <c r="U10" i="13" s="1"/>
  <c r="Y10" i="13" s="1"/>
  <c r="U25" i="13"/>
  <c r="I484" i="13"/>
  <c r="P484" i="13" s="1"/>
  <c r="I483" i="13"/>
  <c r="P483" i="13" s="1"/>
  <c r="I244" i="13"/>
  <c r="P244" i="13" s="1"/>
  <c r="I257" i="13"/>
  <c r="P257" i="13" s="1"/>
  <c r="I482" i="13"/>
  <c r="P482" i="13" s="1"/>
  <c r="I243" i="13"/>
  <c r="P243" i="13" s="1"/>
  <c r="I245" i="13"/>
  <c r="P245" i="13" s="1"/>
  <c r="AH17" i="20"/>
  <c r="AG23" i="20"/>
  <c r="V39" i="24" s="1"/>
  <c r="AH16" i="20"/>
  <c r="AH4" i="20"/>
  <c r="AI4" i="20"/>
  <c r="AI23" i="20" s="1"/>
  <c r="H23" i="20"/>
  <c r="D4" i="2"/>
  <c r="P242" i="13" l="1"/>
  <c r="A43" i="24"/>
  <c r="A641" i="13"/>
  <c r="J9" i="24"/>
  <c r="K9" i="24"/>
  <c r="AK23" i="20"/>
  <c r="G5" i="1" s="1"/>
  <c r="BC23" i="20"/>
  <c r="G41" i="1" s="1"/>
  <c r="AU23" i="20"/>
  <c r="G25" i="1" s="1"/>
  <c r="AL23" i="20"/>
  <c r="G7" i="1" s="1"/>
  <c r="AH23" i="20"/>
  <c r="BA23" i="20"/>
  <c r="G37" i="1" s="1"/>
  <c r="AS23" i="20"/>
  <c r="G21" i="1" s="1"/>
  <c r="AV23" i="20"/>
  <c r="G27" i="1" s="1"/>
  <c r="AJ23" i="20"/>
  <c r="G3" i="1" s="1"/>
  <c r="AW23" i="20"/>
  <c r="G29" i="1" s="1"/>
  <c r="AO23" i="20"/>
  <c r="G13" i="1" s="1"/>
  <c r="AM23" i="20"/>
  <c r="G9" i="1" s="1"/>
  <c r="AP23" i="20"/>
  <c r="G15" i="1" s="1"/>
  <c r="AT23" i="20"/>
  <c r="G23" i="1" s="1"/>
  <c r="AZ23" i="20"/>
  <c r="G35" i="1" s="1"/>
  <c r="AX23" i="20"/>
  <c r="G31" i="1" s="1"/>
  <c r="AR23" i="20"/>
  <c r="G19" i="1" s="1"/>
  <c r="BB23" i="20"/>
  <c r="G39" i="1" s="1"/>
  <c r="AN23" i="20"/>
  <c r="G11" i="1" s="1"/>
  <c r="AY23" i="20"/>
  <c r="G33" i="1" s="1"/>
  <c r="AQ23" i="20"/>
  <c r="G17" i="1" s="1"/>
  <c r="A44" i="24" l="1"/>
  <c r="A642" i="13"/>
  <c r="E43" i="1"/>
  <c r="F43" i="1"/>
  <c r="G43" i="1"/>
  <c r="H43" i="1"/>
  <c r="I43" i="1"/>
  <c r="J43" i="1"/>
  <c r="L43" i="1"/>
  <c r="B6" i="10"/>
  <c r="B7" i="10"/>
  <c r="B8" i="10"/>
  <c r="B9" i="10"/>
  <c r="B5" i="10"/>
  <c r="F35" i="3"/>
  <c r="F36" i="3"/>
  <c r="F37" i="3"/>
  <c r="F38" i="3"/>
  <c r="F34" i="3"/>
  <c r="AO6" i="10"/>
  <c r="AO8" i="10"/>
  <c r="BZ38" i="3"/>
  <c r="CA38" i="3" s="1"/>
  <c r="CA34" i="3"/>
  <c r="A45" i="24" l="1"/>
  <c r="A643" i="13"/>
  <c r="V8" i="10"/>
  <c r="D8" i="10"/>
  <c r="AE8" i="10"/>
  <c r="M8" i="10"/>
  <c r="V6" i="10"/>
  <c r="D6" i="10"/>
  <c r="AE6" i="10"/>
  <c r="M6" i="10"/>
  <c r="AE9" i="10"/>
  <c r="M9" i="10"/>
  <c r="V9" i="10"/>
  <c r="D9" i="10"/>
  <c r="V7" i="10"/>
  <c r="D7" i="10"/>
  <c r="AE7" i="10"/>
  <c r="M7" i="10"/>
  <c r="BZ37" i="3"/>
  <c r="CA37" i="3" s="1"/>
  <c r="BZ36" i="3"/>
  <c r="CA36" i="3" s="1"/>
  <c r="AO7" i="10"/>
  <c r="AO9" i="10"/>
  <c r="BZ35" i="3"/>
  <c r="CA35" i="3" s="1"/>
  <c r="A46" i="24" l="1"/>
  <c r="A644" i="13"/>
  <c r="BG28" i="3"/>
  <c r="BH28" i="3"/>
  <c r="BI28" i="3"/>
  <c r="BJ28" i="3"/>
  <c r="BK28" i="3"/>
  <c r="BL28" i="3"/>
  <c r="BM28" i="3"/>
  <c r="BN28" i="3"/>
  <c r="BO28" i="3"/>
  <c r="BP28" i="3"/>
  <c r="BQ28" i="3"/>
  <c r="BR28" i="3"/>
  <c r="BS28" i="3"/>
  <c r="BT28" i="3"/>
  <c r="BU28" i="3"/>
  <c r="BV28" i="3"/>
  <c r="BW28" i="3"/>
  <c r="BX28" i="3"/>
  <c r="BY28" i="3"/>
  <c r="BF28" i="3"/>
  <c r="D42" i="2"/>
  <c r="L48" i="2" s="1"/>
  <c r="E39" i="2"/>
  <c r="I49" i="2" s="1"/>
  <c r="R40" i="2"/>
  <c r="J62" i="2" s="1"/>
  <c r="G41" i="2"/>
  <c r="K51" i="2" s="1"/>
  <c r="H38" i="2"/>
  <c r="H52" i="2" s="1"/>
  <c r="M37" i="2"/>
  <c r="G57" i="2" s="1"/>
  <c r="S35" i="2"/>
  <c r="E63" i="2" s="1"/>
  <c r="F34" i="2"/>
  <c r="D50" i="2" s="1"/>
  <c r="B33" i="2"/>
  <c r="C46" i="2" s="1"/>
  <c r="A32" i="2"/>
  <c r="L32" i="2" s="1"/>
  <c r="B56" i="2" s="1"/>
  <c r="C7" i="14"/>
  <c r="BP7" i="14" s="1"/>
  <c r="C6" i="14"/>
  <c r="BP6" i="14" s="1"/>
  <c r="H5" i="14"/>
  <c r="I5" i="14" s="1"/>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AI5" i="14" s="1"/>
  <c r="AJ5" i="14" s="1"/>
  <c r="AK5" i="14" s="1"/>
  <c r="AL5" i="14" s="1"/>
  <c r="AM5" i="14" s="1"/>
  <c r="AN5" i="14" s="1"/>
  <c r="AO5" i="14" s="1"/>
  <c r="AP5" i="14" s="1"/>
  <c r="A47" i="24" l="1"/>
  <c r="A645" i="13"/>
  <c r="U42" i="2"/>
  <c r="L65" i="2" s="1"/>
  <c r="P42" i="2"/>
  <c r="L60" i="2" s="1"/>
  <c r="O42" i="2"/>
  <c r="L59" i="2" s="1"/>
  <c r="M42" i="2"/>
  <c r="L57" i="2" s="1"/>
  <c r="U37" i="2"/>
  <c r="G65" i="2" s="1"/>
  <c r="B32" i="2"/>
  <c r="B46" i="2" s="1"/>
  <c r="O41" i="2"/>
  <c r="K59" i="2" s="1"/>
  <c r="B42" i="2"/>
  <c r="L46" i="2" s="1"/>
  <c r="I41" i="2"/>
  <c r="K53" i="2" s="1"/>
  <c r="I33" i="2"/>
  <c r="C53" i="2" s="1"/>
  <c r="B40" i="2"/>
  <c r="J46" i="2" s="1"/>
  <c r="T40" i="2"/>
  <c r="J64" i="2" s="1"/>
  <c r="T32" i="2"/>
  <c r="B64" i="2" s="1"/>
  <c r="BN5" i="14"/>
  <c r="B34" i="2"/>
  <c r="D46" i="2" s="1"/>
  <c r="U39" i="2"/>
  <c r="I65" i="2" s="1"/>
  <c r="D32" i="2"/>
  <c r="B48" i="2" s="1"/>
  <c r="O39" i="2"/>
  <c r="I59" i="2" s="1"/>
  <c r="G39" i="2"/>
  <c r="I51" i="2" s="1"/>
  <c r="D37" i="2"/>
  <c r="G48" i="2" s="1"/>
  <c r="L37" i="2"/>
  <c r="G56" i="2" s="1"/>
  <c r="T37" i="2"/>
  <c r="G64" i="2" s="1"/>
  <c r="F37" i="2"/>
  <c r="G50" i="2" s="1"/>
  <c r="N37" i="2"/>
  <c r="G58" i="2" s="1"/>
  <c r="G37" i="2"/>
  <c r="G51" i="2" s="1"/>
  <c r="O37" i="2"/>
  <c r="G59" i="2" s="1"/>
  <c r="H37" i="2"/>
  <c r="G52" i="2" s="1"/>
  <c r="P37" i="2"/>
  <c r="G60" i="2" s="1"/>
  <c r="I37" i="2"/>
  <c r="G53" i="2" s="1"/>
  <c r="Q37" i="2"/>
  <c r="G61" i="2" s="1"/>
  <c r="BI5" i="14"/>
  <c r="J37" i="2"/>
  <c r="G54" i="2" s="1"/>
  <c r="R37" i="2"/>
  <c r="G62" i="2" s="1"/>
  <c r="B41" i="2"/>
  <c r="N42" i="2"/>
  <c r="L58" i="2" s="1"/>
  <c r="M39" i="2"/>
  <c r="I57" i="2" s="1"/>
  <c r="S37" i="2"/>
  <c r="G63" i="2" s="1"/>
  <c r="BF5" i="14"/>
  <c r="I35" i="2"/>
  <c r="E53" i="2" s="1"/>
  <c r="Q35" i="2"/>
  <c r="E61" i="2" s="1"/>
  <c r="BG5" i="14"/>
  <c r="J35" i="2"/>
  <c r="E54" i="2" s="1"/>
  <c r="R35" i="2"/>
  <c r="E62" i="2" s="1"/>
  <c r="D35" i="2"/>
  <c r="E48" i="2" s="1"/>
  <c r="L35" i="2"/>
  <c r="E56" i="2" s="1"/>
  <c r="T35" i="2"/>
  <c r="E64" i="2" s="1"/>
  <c r="E35" i="2"/>
  <c r="E49" i="2" s="1"/>
  <c r="M35" i="2"/>
  <c r="E57" i="2" s="1"/>
  <c r="U35" i="2"/>
  <c r="E65" i="2" s="1"/>
  <c r="F35" i="2"/>
  <c r="E50" i="2" s="1"/>
  <c r="N35" i="2"/>
  <c r="E58" i="2" s="1"/>
  <c r="G35" i="2"/>
  <c r="E51" i="2" s="1"/>
  <c r="O35" i="2"/>
  <c r="E59" i="2" s="1"/>
  <c r="H35" i="2"/>
  <c r="E52" i="2" s="1"/>
  <c r="P35" i="2"/>
  <c r="E60" i="2" s="1"/>
  <c r="K35" i="2"/>
  <c r="E55" i="2" s="1"/>
  <c r="H41" i="2"/>
  <c r="K52" i="2" s="1"/>
  <c r="P41" i="2"/>
  <c r="K60" i="2" s="1"/>
  <c r="BM5" i="14"/>
  <c r="J41" i="2"/>
  <c r="K54" i="2" s="1"/>
  <c r="R41" i="2"/>
  <c r="K62" i="2" s="1"/>
  <c r="C41" i="2"/>
  <c r="K47" i="2" s="1"/>
  <c r="K41" i="2"/>
  <c r="K55" i="2" s="1"/>
  <c r="S41" i="2"/>
  <c r="K63" i="2" s="1"/>
  <c r="D41" i="2"/>
  <c r="K48" i="2" s="1"/>
  <c r="L41" i="2"/>
  <c r="K56" i="2" s="1"/>
  <c r="T41" i="2"/>
  <c r="K64" i="2" s="1"/>
  <c r="E41" i="2"/>
  <c r="K49" i="2" s="1"/>
  <c r="M41" i="2"/>
  <c r="K57" i="2" s="1"/>
  <c r="U41" i="2"/>
  <c r="K65" i="2" s="1"/>
  <c r="F41" i="2"/>
  <c r="K50" i="2" s="1"/>
  <c r="N41" i="2"/>
  <c r="K58" i="2" s="1"/>
  <c r="B39" i="2"/>
  <c r="T42" i="2"/>
  <c r="L64" i="2" s="1"/>
  <c r="L42" i="2"/>
  <c r="L56" i="2" s="1"/>
  <c r="K37" i="2"/>
  <c r="G55" i="2" s="1"/>
  <c r="C35" i="2"/>
  <c r="E47" i="2" s="1"/>
  <c r="BH5" i="14"/>
  <c r="F36" i="2"/>
  <c r="F50" i="2" s="1"/>
  <c r="G36" i="2"/>
  <c r="F51" i="2" s="1"/>
  <c r="O36" i="2"/>
  <c r="F59" i="2" s="1"/>
  <c r="I36" i="2"/>
  <c r="F53" i="2" s="1"/>
  <c r="Q36" i="2"/>
  <c r="F61" i="2" s="1"/>
  <c r="J36" i="2"/>
  <c r="F54" i="2" s="1"/>
  <c r="R36" i="2"/>
  <c r="F62" i="2" s="1"/>
  <c r="C36" i="2"/>
  <c r="F47" i="2" s="1"/>
  <c r="K36" i="2"/>
  <c r="F55" i="2" s="1"/>
  <c r="S36" i="2"/>
  <c r="F63" i="2" s="1"/>
  <c r="D36" i="2"/>
  <c r="F48" i="2" s="1"/>
  <c r="L36" i="2"/>
  <c r="F56" i="2" s="1"/>
  <c r="T36" i="2"/>
  <c r="F64" i="2" s="1"/>
  <c r="E36" i="2"/>
  <c r="F49" i="2" s="1"/>
  <c r="M36" i="2"/>
  <c r="F57" i="2" s="1"/>
  <c r="U36" i="2"/>
  <c r="F65" i="2" s="1"/>
  <c r="I38" i="2"/>
  <c r="H53" i="2" s="1"/>
  <c r="Q38" i="2"/>
  <c r="H61" i="2" s="1"/>
  <c r="C38" i="2"/>
  <c r="H47" i="2" s="1"/>
  <c r="K38" i="2"/>
  <c r="H55" i="2" s="1"/>
  <c r="S38" i="2"/>
  <c r="H63" i="2" s="1"/>
  <c r="D38" i="2"/>
  <c r="H48" i="2" s="1"/>
  <c r="L38" i="2"/>
  <c r="H56" i="2" s="1"/>
  <c r="T38" i="2"/>
  <c r="H64" i="2" s="1"/>
  <c r="E38" i="2"/>
  <c r="H49" i="2" s="1"/>
  <c r="M38" i="2"/>
  <c r="H57" i="2" s="1"/>
  <c r="U38" i="2"/>
  <c r="H65" i="2" s="1"/>
  <c r="BJ5" i="14"/>
  <c r="F38" i="2"/>
  <c r="H50" i="2" s="1"/>
  <c r="N38" i="2"/>
  <c r="H58" i="2" s="1"/>
  <c r="G38" i="2"/>
  <c r="H51" i="2" s="1"/>
  <c r="O38" i="2"/>
  <c r="H59" i="2" s="1"/>
  <c r="BD5" i="14"/>
  <c r="J32" i="2"/>
  <c r="R32" i="2"/>
  <c r="C32" i="2"/>
  <c r="B47" i="2" s="1"/>
  <c r="K32" i="2"/>
  <c r="B55" i="2" s="1"/>
  <c r="S32" i="2"/>
  <c r="B63" i="2" s="1"/>
  <c r="E32" i="2"/>
  <c r="B49" i="2" s="1"/>
  <c r="M32" i="2"/>
  <c r="U32" i="2"/>
  <c r="F32" i="2"/>
  <c r="N32" i="2"/>
  <c r="G32" i="2"/>
  <c r="O32" i="2"/>
  <c r="H32" i="2"/>
  <c r="P32" i="2"/>
  <c r="I32" i="2"/>
  <c r="Q32" i="2"/>
  <c r="C40" i="2"/>
  <c r="J47" i="2" s="1"/>
  <c r="K40" i="2"/>
  <c r="J55" i="2" s="1"/>
  <c r="S40" i="2"/>
  <c r="J63" i="2" s="1"/>
  <c r="E40" i="2"/>
  <c r="J49" i="2" s="1"/>
  <c r="M40" i="2"/>
  <c r="J57" i="2" s="1"/>
  <c r="U40" i="2"/>
  <c r="J65" i="2" s="1"/>
  <c r="BL5" i="14"/>
  <c r="F40" i="2"/>
  <c r="J50" i="2" s="1"/>
  <c r="N40" i="2"/>
  <c r="J58" i="2" s="1"/>
  <c r="G40" i="2"/>
  <c r="J51" i="2" s="1"/>
  <c r="O40" i="2"/>
  <c r="J59" i="2" s="1"/>
  <c r="H40" i="2"/>
  <c r="J52" i="2" s="1"/>
  <c r="P40" i="2"/>
  <c r="J60" i="2" s="1"/>
  <c r="I40" i="2"/>
  <c r="J53" i="2" s="1"/>
  <c r="Q40" i="2"/>
  <c r="J61" i="2" s="1"/>
  <c r="B38" i="2"/>
  <c r="S42" i="2"/>
  <c r="L63" i="2" s="1"/>
  <c r="F42" i="2"/>
  <c r="L50" i="2" s="1"/>
  <c r="L40" i="2"/>
  <c r="J56" i="2" s="1"/>
  <c r="R38" i="2"/>
  <c r="H62" i="2" s="1"/>
  <c r="E37" i="2"/>
  <c r="G49" i="2" s="1"/>
  <c r="N34" i="2"/>
  <c r="D58" i="2" s="1"/>
  <c r="B35" i="2"/>
  <c r="F39" i="2"/>
  <c r="I50" i="2" s="1"/>
  <c r="N39" i="2"/>
  <c r="I58" i="2" s="1"/>
  <c r="H39" i="2"/>
  <c r="I52" i="2" s="1"/>
  <c r="P39" i="2"/>
  <c r="I60" i="2" s="1"/>
  <c r="I39" i="2"/>
  <c r="I53" i="2" s="1"/>
  <c r="Q39" i="2"/>
  <c r="I61" i="2" s="1"/>
  <c r="BK5" i="14"/>
  <c r="J39" i="2"/>
  <c r="I54" i="2" s="1"/>
  <c r="R39" i="2"/>
  <c r="I62" i="2" s="1"/>
  <c r="C39" i="2"/>
  <c r="I47" i="2" s="1"/>
  <c r="K39" i="2"/>
  <c r="I55" i="2" s="1"/>
  <c r="S39" i="2"/>
  <c r="I63" i="2" s="1"/>
  <c r="D39" i="2"/>
  <c r="L39" i="2"/>
  <c r="T39" i="2"/>
  <c r="B37" i="2"/>
  <c r="R42" i="2"/>
  <c r="L62" i="2" s="1"/>
  <c r="J40" i="2"/>
  <c r="J54" i="2" s="1"/>
  <c r="P38" i="2"/>
  <c r="H60" i="2" s="1"/>
  <c r="C37" i="2"/>
  <c r="G47" i="2" s="1"/>
  <c r="H36" i="2"/>
  <c r="F52" i="2" s="1"/>
  <c r="G33" i="2"/>
  <c r="C51" i="2" s="1"/>
  <c r="O33" i="2"/>
  <c r="C59" i="2" s="1"/>
  <c r="BE5" i="14"/>
  <c r="H33" i="2"/>
  <c r="C52" i="2" s="1"/>
  <c r="P33" i="2"/>
  <c r="C60" i="2" s="1"/>
  <c r="J33" i="2"/>
  <c r="C54" i="2" s="1"/>
  <c r="R33" i="2"/>
  <c r="C62" i="2" s="1"/>
  <c r="C33" i="2"/>
  <c r="C47" i="2" s="1"/>
  <c r="K33" i="2"/>
  <c r="C55" i="2" s="1"/>
  <c r="S33" i="2"/>
  <c r="C63" i="2" s="1"/>
  <c r="D33" i="2"/>
  <c r="C48" i="2" s="1"/>
  <c r="L33" i="2"/>
  <c r="C56" i="2" s="1"/>
  <c r="T33" i="2"/>
  <c r="C64" i="2" s="1"/>
  <c r="E33" i="2"/>
  <c r="M33" i="2"/>
  <c r="C57" i="2" s="1"/>
  <c r="U33" i="2"/>
  <c r="C65" i="2" s="1"/>
  <c r="F33" i="2"/>
  <c r="C50" i="2" s="1"/>
  <c r="N33" i="2"/>
  <c r="C58" i="2" s="1"/>
  <c r="D34" i="2"/>
  <c r="D48" i="2" s="1"/>
  <c r="L34" i="2"/>
  <c r="D56" i="2" s="1"/>
  <c r="T34" i="2"/>
  <c r="D64" i="2" s="1"/>
  <c r="E34" i="2"/>
  <c r="D49" i="2" s="1"/>
  <c r="M34" i="2"/>
  <c r="D57" i="2" s="1"/>
  <c r="U34" i="2"/>
  <c r="D65" i="2" s="1"/>
  <c r="G34" i="2"/>
  <c r="D51" i="2" s="1"/>
  <c r="O34" i="2"/>
  <c r="D59" i="2" s="1"/>
  <c r="H34" i="2"/>
  <c r="D52" i="2" s="1"/>
  <c r="P34" i="2"/>
  <c r="D60" i="2" s="1"/>
  <c r="I34" i="2"/>
  <c r="D53" i="2" s="1"/>
  <c r="Q34" i="2"/>
  <c r="D61" i="2" s="1"/>
  <c r="J34" i="2"/>
  <c r="D54" i="2" s="1"/>
  <c r="R34" i="2"/>
  <c r="D62" i="2" s="1"/>
  <c r="C34" i="2"/>
  <c r="K34" i="2"/>
  <c r="S34" i="2"/>
  <c r="E42" i="2"/>
  <c r="L49" i="2" s="1"/>
  <c r="G42" i="2"/>
  <c r="L51" i="2" s="1"/>
  <c r="H42" i="2"/>
  <c r="L52" i="2" s="1"/>
  <c r="I42" i="2"/>
  <c r="L53" i="2" s="1"/>
  <c r="J42" i="2"/>
  <c r="L54" i="2" s="1"/>
  <c r="C42" i="2"/>
  <c r="L47" i="2" s="1"/>
  <c r="K42" i="2"/>
  <c r="L55" i="2" s="1"/>
  <c r="B36" i="2"/>
  <c r="Q42" i="2"/>
  <c r="L61" i="2" s="1"/>
  <c r="Q41" i="2"/>
  <c r="K61" i="2" s="1"/>
  <c r="D40" i="2"/>
  <c r="J48" i="2" s="1"/>
  <c r="J38" i="2"/>
  <c r="H54" i="2" s="1"/>
  <c r="P36" i="2"/>
  <c r="F60" i="2" s="1"/>
  <c r="Q33" i="2"/>
  <c r="C61" i="2" s="1"/>
  <c r="N36" i="2"/>
  <c r="F58" i="2" s="1"/>
  <c r="A48" i="24" l="1"/>
  <c r="A646" i="13"/>
  <c r="BI4" i="14"/>
  <c r="BE4" i="14"/>
  <c r="BL4" i="14"/>
  <c r="BH4" i="14"/>
  <c r="BF4" i="14"/>
  <c r="BK4" i="14"/>
  <c r="BN4" i="14"/>
  <c r="BM4" i="14"/>
  <c r="BJ4" i="14"/>
  <c r="BG4" i="14"/>
  <c r="BD4" i="14"/>
  <c r="B43" i="2"/>
  <c r="N43" i="2"/>
  <c r="B58" i="2"/>
  <c r="D43" i="2"/>
  <c r="I48" i="2"/>
  <c r="F43" i="2"/>
  <c r="B50" i="2"/>
  <c r="J43" i="2"/>
  <c r="B54" i="2"/>
  <c r="H46" i="2"/>
  <c r="Q43" i="2"/>
  <c r="B61" i="2"/>
  <c r="U43" i="2"/>
  <c r="B65" i="2"/>
  <c r="I46" i="2"/>
  <c r="K43" i="2"/>
  <c r="D55" i="2"/>
  <c r="I43" i="2"/>
  <c r="B53" i="2"/>
  <c r="M43" i="2"/>
  <c r="B57" i="2"/>
  <c r="E46" i="2"/>
  <c r="F46" i="2"/>
  <c r="C43" i="2"/>
  <c r="D47" i="2"/>
  <c r="P43" i="2"/>
  <c r="B60" i="2"/>
  <c r="L43" i="2"/>
  <c r="I56" i="2"/>
  <c r="R43" i="2"/>
  <c r="B62" i="2"/>
  <c r="S43" i="2"/>
  <c r="D63" i="2"/>
  <c r="H43" i="2"/>
  <c r="B52" i="2"/>
  <c r="K46" i="2"/>
  <c r="G46" i="2"/>
  <c r="O43" i="2"/>
  <c r="B59" i="2"/>
  <c r="E43" i="2"/>
  <c r="C49" i="2"/>
  <c r="T43" i="2"/>
  <c r="I64" i="2"/>
  <c r="G43" i="2"/>
  <c r="B51" i="2"/>
  <c r="A49" i="24" l="1"/>
  <c r="A647" i="13"/>
  <c r="A50" i="24" l="1"/>
  <c r="A648" i="13"/>
  <c r="BC15" i="12"/>
  <c r="BD15" i="12"/>
  <c r="BE15" i="12"/>
  <c r="BF15" i="12"/>
  <c r="BG15" i="12"/>
  <c r="BH15" i="12"/>
  <c r="BI15" i="12"/>
  <c r="BJ15" i="12"/>
  <c r="BK15" i="12"/>
  <c r="BL15" i="12"/>
  <c r="BM15" i="12"/>
  <c r="BN15" i="12"/>
  <c r="BO15" i="12"/>
  <c r="BP15" i="12"/>
  <c r="BQ15" i="12"/>
  <c r="BR15" i="12"/>
  <c r="BS15" i="12"/>
  <c r="BT15" i="12"/>
  <c r="BU15" i="12"/>
  <c r="BC20" i="12"/>
  <c r="BD20" i="12"/>
  <c r="BE20" i="12"/>
  <c r="BF20" i="12"/>
  <c r="BG20" i="12"/>
  <c r="BH20" i="12"/>
  <c r="BI20" i="12"/>
  <c r="BJ20" i="12"/>
  <c r="BK20" i="12"/>
  <c r="BL20" i="12"/>
  <c r="BM20" i="12"/>
  <c r="BN20" i="12"/>
  <c r="BO20" i="12"/>
  <c r="BP20" i="12"/>
  <c r="BQ20" i="12"/>
  <c r="BR20" i="12"/>
  <c r="BS20" i="12"/>
  <c r="BT20" i="12"/>
  <c r="BU20" i="12"/>
  <c r="BC25" i="12"/>
  <c r="BD25" i="12"/>
  <c r="BE25" i="12"/>
  <c r="BF25" i="12"/>
  <c r="BG25" i="12"/>
  <c r="BH25" i="12"/>
  <c r="BI25" i="12"/>
  <c r="BJ25" i="12"/>
  <c r="BK25" i="12"/>
  <c r="BL25" i="12"/>
  <c r="BM25" i="12"/>
  <c r="BN25" i="12"/>
  <c r="BO25" i="12"/>
  <c r="BP25" i="12"/>
  <c r="BQ25" i="12"/>
  <c r="BR25" i="12"/>
  <c r="BS25" i="12"/>
  <c r="BT25" i="12"/>
  <c r="BU25" i="12"/>
  <c r="BB25" i="12"/>
  <c r="BB20" i="12"/>
  <c r="BB15" i="12"/>
  <c r="BB10" i="12"/>
  <c r="BC10" i="12"/>
  <c r="BE10" i="12"/>
  <c r="BF10" i="12"/>
  <c r="BG10" i="12"/>
  <c r="BH10" i="12"/>
  <c r="BI10" i="12"/>
  <c r="BJ10" i="12"/>
  <c r="BK10" i="12"/>
  <c r="BL10" i="12"/>
  <c r="BM10" i="12"/>
  <c r="BN10" i="12"/>
  <c r="BO10" i="12"/>
  <c r="BP10" i="12"/>
  <c r="BQ10" i="12"/>
  <c r="BR10" i="12"/>
  <c r="BS10" i="12"/>
  <c r="BT10" i="12"/>
  <c r="BU10" i="12"/>
  <c r="BC5" i="12"/>
  <c r="BD5" i="12"/>
  <c r="BE5" i="12"/>
  <c r="BF5" i="12"/>
  <c r="BG5" i="12"/>
  <c r="BH5" i="12"/>
  <c r="BI5" i="12"/>
  <c r="BJ5" i="12"/>
  <c r="BK5" i="12"/>
  <c r="BL5" i="12"/>
  <c r="BM5" i="12"/>
  <c r="BN5" i="12"/>
  <c r="BO5" i="12"/>
  <c r="BP5" i="12"/>
  <c r="BQ5" i="12"/>
  <c r="BR5" i="12"/>
  <c r="BS5" i="12"/>
  <c r="BT5" i="12"/>
  <c r="BU5" i="12"/>
  <c r="BB5" i="12"/>
  <c r="A26" i="12"/>
  <c r="A27" i="12" s="1"/>
  <c r="A28" i="12" s="1"/>
  <c r="A29" i="12" s="1"/>
  <c r="A21" i="12"/>
  <c r="A22" i="12" s="1"/>
  <c r="A23" i="12" s="1"/>
  <c r="A24" i="12" s="1"/>
  <c r="A16" i="12"/>
  <c r="A17" i="12" s="1"/>
  <c r="A18" i="12" s="1"/>
  <c r="A19" i="12" s="1"/>
  <c r="A11" i="12"/>
  <c r="A12" i="12" s="1"/>
  <c r="A13" i="12" s="1"/>
  <c r="A14" i="12" s="1"/>
  <c r="A7" i="12"/>
  <c r="A8" i="12" s="1"/>
  <c r="A9" i="12" s="1"/>
  <c r="BZ47" i="3"/>
  <c r="CA47" i="3" s="1"/>
  <c r="BZ46" i="3"/>
  <c r="CA46" i="3" s="1"/>
  <c r="BZ45" i="3"/>
  <c r="CA45" i="3" s="1"/>
  <c r="BA10" i="12"/>
  <c r="D10" i="11"/>
  <c r="E10" i="11" s="1"/>
  <c r="F10" i="11" s="1"/>
  <c r="D4" i="11"/>
  <c r="E4" i="11" s="1"/>
  <c r="F4" i="11" s="1"/>
  <c r="D6" i="11"/>
  <c r="E6" i="11" s="1"/>
  <c r="F6" i="11" s="1"/>
  <c r="D5" i="11"/>
  <c r="E5" i="11" s="1"/>
  <c r="F5" i="11" s="1"/>
  <c r="D7" i="11"/>
  <c r="E7" i="11" s="1"/>
  <c r="F7" i="11" s="1"/>
  <c r="A51" i="24" l="1"/>
  <c r="A649" i="13"/>
  <c r="CA43" i="3"/>
  <c r="BA15" i="12"/>
  <c r="BA20" i="12"/>
  <c r="BA25" i="12"/>
  <c r="BD10" i="12"/>
  <c r="BZ5" i="3"/>
  <c r="BZ6" i="3"/>
  <c r="CA6" i="3" s="1"/>
  <c r="BZ7" i="3"/>
  <c r="CA7" i="3" s="1"/>
  <c r="BZ8" i="3"/>
  <c r="CA8" i="3" s="1"/>
  <c r="BZ9" i="3"/>
  <c r="CA9" i="3" s="1"/>
  <c r="BZ10" i="3"/>
  <c r="CA10" i="3" s="1"/>
  <c r="BZ11" i="3"/>
  <c r="CA11" i="3" s="1"/>
  <c r="BZ12" i="3"/>
  <c r="CA12" i="3" s="1"/>
  <c r="BZ13" i="3"/>
  <c r="CA13" i="3" s="1"/>
  <c r="BZ14" i="3"/>
  <c r="CA14" i="3" s="1"/>
  <c r="BZ15" i="3"/>
  <c r="CA15" i="3" s="1"/>
  <c r="BZ16" i="3"/>
  <c r="CA16" i="3" s="1"/>
  <c r="BZ17" i="3"/>
  <c r="CA17" i="3" s="1"/>
  <c r="C9" i="14"/>
  <c r="BP9" i="14" s="1"/>
  <c r="C10" i="14"/>
  <c r="BP10" i="14" s="1"/>
  <c r="C11" i="14"/>
  <c r="BP11" i="14" s="1"/>
  <c r="C12" i="14"/>
  <c r="BP12" i="14" s="1"/>
  <c r="C13" i="14"/>
  <c r="BP13" i="14" s="1"/>
  <c r="C14" i="14"/>
  <c r="BP14" i="14" s="1"/>
  <c r="C15" i="14"/>
  <c r="C16" i="14"/>
  <c r="C17" i="14"/>
  <c r="C19" i="14"/>
  <c r="C20" i="14"/>
  <c r="C21" i="14"/>
  <c r="C22" i="14"/>
  <c r="C23" i="14"/>
  <c r="C24" i="14"/>
  <c r="C25" i="14"/>
  <c r="BP25" i="14" s="1"/>
  <c r="C8" i="14"/>
  <c r="BP8" i="14" s="1"/>
  <c r="F19" i="14" l="1"/>
  <c r="BP19" i="14"/>
  <c r="F22" i="14"/>
  <c r="BP22" i="14"/>
  <c r="F20" i="14"/>
  <c r="BP20" i="14"/>
  <c r="F21" i="14"/>
  <c r="BP21" i="14"/>
  <c r="F17" i="14"/>
  <c r="BP17" i="14"/>
  <c r="F16" i="14"/>
  <c r="BP16" i="14"/>
  <c r="F24" i="14"/>
  <c r="BP24" i="14"/>
  <c r="F15" i="14"/>
  <c r="BP15" i="14"/>
  <c r="F23" i="14"/>
  <c r="BP23" i="14"/>
  <c r="A52" i="24"/>
  <c r="A650" i="13"/>
  <c r="CA5" i="3"/>
  <c r="BZ44" i="3"/>
  <c r="CA44" i="3" s="1"/>
  <c r="F14" i="14"/>
  <c r="F13" i="14"/>
  <c r="F12" i="14"/>
  <c r="F11" i="14"/>
  <c r="C18" i="14"/>
  <c r="F10" i="14"/>
  <c r="G25" i="14"/>
  <c r="N41" i="1"/>
  <c r="F9" i="14"/>
  <c r="BZ18" i="3"/>
  <c r="CA18" i="3" s="1"/>
  <c r="F18" i="14" l="1"/>
  <c r="BP18" i="14"/>
  <c r="A53" i="24"/>
  <c r="A651" i="13"/>
  <c r="BZ19" i="3"/>
  <c r="BZ20" i="3"/>
  <c r="CA20" i="3" s="1"/>
  <c r="BZ21" i="3"/>
  <c r="CA21" i="3" s="1"/>
  <c r="BZ22" i="3"/>
  <c r="CA22" i="3" s="1"/>
  <c r="BZ23" i="3"/>
  <c r="CA23" i="3" s="1"/>
  <c r="BZ24" i="3"/>
  <c r="CA24" i="3" s="1"/>
  <c r="BZ25" i="3"/>
  <c r="CA25" i="3" s="1"/>
  <c r="BZ26" i="3"/>
  <c r="CA26" i="3" s="1"/>
  <c r="A54" i="24" l="1"/>
  <c r="A652" i="13"/>
  <c r="J28" i="3"/>
  <c r="J1" i="3"/>
  <c r="N3" i="1"/>
  <c r="CA19" i="3"/>
  <c r="CA4" i="3"/>
  <c r="G8" i="14"/>
  <c r="N7" i="1"/>
  <c r="G23" i="14"/>
  <c r="N37" i="1"/>
  <c r="G15" i="14"/>
  <c r="N21" i="1"/>
  <c r="G7" i="14"/>
  <c r="N5" i="1"/>
  <c r="G22" i="14"/>
  <c r="N35" i="1"/>
  <c r="G14" i="14"/>
  <c r="N19" i="1"/>
  <c r="G21" i="14"/>
  <c r="N33" i="1"/>
  <c r="G13" i="14"/>
  <c r="N17" i="1"/>
  <c r="G16" i="14"/>
  <c r="N23" i="1"/>
  <c r="G20" i="14"/>
  <c r="N31" i="1"/>
  <c r="G12" i="14"/>
  <c r="N15" i="1"/>
  <c r="G24" i="14"/>
  <c r="N39" i="1"/>
  <c r="G19" i="14"/>
  <c r="N29" i="1"/>
  <c r="G11" i="14"/>
  <c r="N13" i="1"/>
  <c r="G18" i="14"/>
  <c r="N27" i="1"/>
  <c r="G10" i="14"/>
  <c r="N11" i="1"/>
  <c r="G6" i="14"/>
  <c r="G17" i="14"/>
  <c r="N25" i="1"/>
  <c r="G9" i="14"/>
  <c r="N9" i="1"/>
  <c r="I28" i="3"/>
  <c r="A55" i="24" l="1"/>
  <c r="A653" i="13"/>
  <c r="D3" i="12"/>
  <c r="DC33" i="3"/>
  <c r="DC42" i="3" s="1"/>
  <c r="J30" i="3"/>
  <c r="K28" i="3"/>
  <c r="U6" i="13"/>
  <c r="N1" i="1"/>
  <c r="Z1" i="1" s="1"/>
  <c r="AL1" i="1" s="1"/>
  <c r="G4" i="14"/>
  <c r="S4" i="14" s="1"/>
  <c r="AE4" i="14" s="1"/>
  <c r="AQ4" i="14" s="1"/>
  <c r="V1" i="3"/>
  <c r="J32" i="3"/>
  <c r="K55" i="3"/>
  <c r="A56" i="24" l="1"/>
  <c r="A654" i="13"/>
  <c r="V6" i="13"/>
  <c r="I1" i="13"/>
  <c r="D2" i="12"/>
  <c r="BV3" i="12"/>
  <c r="AH1" i="3"/>
  <c r="DD33" i="3"/>
  <c r="DD42" i="3" s="1"/>
  <c r="D1" i="12"/>
  <c r="J21" i="3"/>
  <c r="J24" i="3"/>
  <c r="J20" i="3"/>
  <c r="J22" i="3"/>
  <c r="J23" i="3"/>
  <c r="J25" i="3"/>
  <c r="J26" i="3"/>
  <c r="J19" i="3"/>
  <c r="K30" i="3"/>
  <c r="K7" i="3" s="1"/>
  <c r="J46" i="3"/>
  <c r="D20" i="12" s="1"/>
  <c r="D23" i="12" s="1"/>
  <c r="J45" i="3"/>
  <c r="D15" i="12" s="1"/>
  <c r="D18" i="12" s="1"/>
  <c r="J47" i="3"/>
  <c r="D25" i="12" s="1"/>
  <c r="D28" i="12" s="1"/>
  <c r="J44" i="3"/>
  <c r="D10" i="12" s="1"/>
  <c r="D13" i="12" s="1"/>
  <c r="J43" i="3"/>
  <c r="D5" i="12" s="1"/>
  <c r="D8" i="12" s="1"/>
  <c r="J34" i="3"/>
  <c r="J37" i="3"/>
  <c r="J38" i="3"/>
  <c r="J35" i="3"/>
  <c r="J36" i="3"/>
  <c r="J10" i="3"/>
  <c r="J4" i="3"/>
  <c r="J16" i="3"/>
  <c r="J11" i="3"/>
  <c r="J15" i="3"/>
  <c r="J7" i="3"/>
  <c r="J9" i="3"/>
  <c r="J14" i="3"/>
  <c r="J8" i="3"/>
  <c r="J13" i="3"/>
  <c r="J5" i="3"/>
  <c r="J18" i="3"/>
  <c r="J12" i="3"/>
  <c r="J17" i="3"/>
  <c r="J6" i="3"/>
  <c r="L28" i="3"/>
  <c r="L26" i="8"/>
  <c r="V32" i="3"/>
  <c r="AH32" i="3" s="1"/>
  <c r="AT32" i="3" s="1"/>
  <c r="J41" i="3"/>
  <c r="H25" i="14"/>
  <c r="O41" i="1"/>
  <c r="A57" i="24" l="1"/>
  <c r="A655" i="13"/>
  <c r="L23" i="8"/>
  <c r="I25" i="14" s="1"/>
  <c r="AT1" i="3"/>
  <c r="DF33" i="3" s="1"/>
  <c r="DF42" i="3" s="1"/>
  <c r="DE33" i="3"/>
  <c r="DE42" i="3" s="1"/>
  <c r="K44" i="3"/>
  <c r="E10" i="12" s="1"/>
  <c r="K45" i="3"/>
  <c r="E15" i="12" s="1"/>
  <c r="K46" i="3"/>
  <c r="E20" i="12" s="1"/>
  <c r="K43" i="3"/>
  <c r="E5" i="12" s="1"/>
  <c r="K47" i="3"/>
  <c r="E25" i="12" s="1"/>
  <c r="K36" i="3"/>
  <c r="K38" i="3"/>
  <c r="K35" i="3"/>
  <c r="K37" i="3"/>
  <c r="K34" i="3"/>
  <c r="K4" i="3"/>
  <c r="K3" i="8" s="1"/>
  <c r="K6" i="3"/>
  <c r="K26" i="3"/>
  <c r="K25" i="3"/>
  <c r="K24" i="3"/>
  <c r="K23" i="3"/>
  <c r="K22" i="3"/>
  <c r="K21" i="3"/>
  <c r="K20" i="3"/>
  <c r="K19" i="3"/>
  <c r="K14" i="3"/>
  <c r="K18" i="3"/>
  <c r="K17" i="3"/>
  <c r="K13" i="3"/>
  <c r="K9" i="3"/>
  <c r="K5" i="3"/>
  <c r="K16" i="3"/>
  <c r="K12" i="3"/>
  <c r="K8" i="3"/>
  <c r="K11" i="3"/>
  <c r="K15" i="3"/>
  <c r="K10" i="3"/>
  <c r="D6" i="12"/>
  <c r="J3" i="8"/>
  <c r="J3" i="3"/>
  <c r="L30" i="3"/>
  <c r="M28" i="3"/>
  <c r="L5" i="8"/>
  <c r="N26" i="8"/>
  <c r="M26" i="8"/>
  <c r="C3" i="10"/>
  <c r="V41" i="3"/>
  <c r="AH41" i="3" s="1"/>
  <c r="AT41" i="3" s="1"/>
  <c r="H23" i="14"/>
  <c r="O37" i="1"/>
  <c r="H21" i="14"/>
  <c r="O33" i="1"/>
  <c r="L14" i="8"/>
  <c r="H16" i="14"/>
  <c r="O23" i="1"/>
  <c r="L11" i="8"/>
  <c r="H13" i="14"/>
  <c r="O17" i="1"/>
  <c r="L7" i="8"/>
  <c r="H9" i="14"/>
  <c r="O9" i="1"/>
  <c r="H24" i="14"/>
  <c r="O39" i="1"/>
  <c r="H17" i="14"/>
  <c r="O25" i="1"/>
  <c r="H7" i="14"/>
  <c r="O5" i="1"/>
  <c r="H12" i="14"/>
  <c r="O15" i="1"/>
  <c r="H18" i="14"/>
  <c r="O27" i="1"/>
  <c r="H6" i="14"/>
  <c r="O3" i="1"/>
  <c r="L6" i="8"/>
  <c r="H8" i="14"/>
  <c r="O7" i="1"/>
  <c r="L13" i="8"/>
  <c r="H15" i="14"/>
  <c r="O21" i="1"/>
  <c r="L4" i="8"/>
  <c r="L9" i="8"/>
  <c r="H11" i="14"/>
  <c r="O13" i="1"/>
  <c r="L10" i="8"/>
  <c r="L20" i="8"/>
  <c r="H22" i="14"/>
  <c r="O35" i="1"/>
  <c r="L8" i="8"/>
  <c r="H10" i="14"/>
  <c r="O11" i="1"/>
  <c r="L18" i="8"/>
  <c r="H20" i="14"/>
  <c r="O31" i="1"/>
  <c r="L12" i="8"/>
  <c r="H14" i="14"/>
  <c r="O19" i="1"/>
  <c r="H19" i="14"/>
  <c r="O29" i="1"/>
  <c r="L19" i="8"/>
  <c r="L21" i="8"/>
  <c r="L15" i="8"/>
  <c r="L16" i="8"/>
  <c r="L17" i="8"/>
  <c r="L22" i="8"/>
  <c r="A58" i="24" l="1"/>
  <c r="A656" i="13"/>
  <c r="P41" i="1"/>
  <c r="L53" i="3"/>
  <c r="L52" i="3"/>
  <c r="L50" i="3"/>
  <c r="L51" i="3"/>
  <c r="L54" i="3"/>
  <c r="L49" i="3"/>
  <c r="D2" i="10"/>
  <c r="D5" i="10" s="1"/>
  <c r="BK4" i="10"/>
  <c r="L3" i="10"/>
  <c r="M2" i="10" s="1"/>
  <c r="M5" i="10" s="1"/>
  <c r="K3" i="3"/>
  <c r="L19" i="3"/>
  <c r="L20" i="3"/>
  <c r="L21" i="3"/>
  <c r="L22" i="3"/>
  <c r="L23" i="3"/>
  <c r="L24" i="3"/>
  <c r="L25" i="3"/>
  <c r="L26" i="3"/>
  <c r="L55" i="3"/>
  <c r="L43" i="3"/>
  <c r="F5" i="12" s="1"/>
  <c r="F8" i="12" s="1"/>
  <c r="E23" i="12"/>
  <c r="E13" i="12"/>
  <c r="L9" i="3"/>
  <c r="L34" i="3"/>
  <c r="L12" i="3"/>
  <c r="L36" i="3"/>
  <c r="L16" i="3"/>
  <c r="L15" i="3"/>
  <c r="L37" i="3"/>
  <c r="L47" i="3"/>
  <c r="L6" i="3"/>
  <c r="L10" i="3"/>
  <c r="L8" i="3"/>
  <c r="L17" i="3"/>
  <c r="L44" i="3"/>
  <c r="L11" i="3"/>
  <c r="L4" i="3"/>
  <c r="L3" i="8" s="1"/>
  <c r="L13" i="3"/>
  <c r="L18" i="3"/>
  <c r="L38" i="3"/>
  <c r="L14" i="3"/>
  <c r="L7" i="3"/>
  <c r="L46" i="3"/>
  <c r="L5" i="3"/>
  <c r="L35" i="3"/>
  <c r="M30" i="3"/>
  <c r="N28" i="3"/>
  <c r="L45" i="3"/>
  <c r="O26" i="8"/>
  <c r="M6" i="8"/>
  <c r="E8" i="12"/>
  <c r="E18" i="12"/>
  <c r="P1" i="12"/>
  <c r="P3" i="12" s="1"/>
  <c r="BW3" i="12" s="1"/>
  <c r="I19" i="14"/>
  <c r="P29" i="1"/>
  <c r="I20" i="14"/>
  <c r="P31" i="1"/>
  <c r="I8" i="14"/>
  <c r="P7" i="1"/>
  <c r="I22" i="14"/>
  <c r="P35" i="1"/>
  <c r="I16" i="14"/>
  <c r="P23" i="1"/>
  <c r="I24" i="14"/>
  <c r="P39" i="1"/>
  <c r="I12" i="14"/>
  <c r="P15" i="1"/>
  <c r="I15" i="14"/>
  <c r="P21" i="1"/>
  <c r="I7" i="14"/>
  <c r="P5" i="1"/>
  <c r="I14" i="14"/>
  <c r="P19" i="1"/>
  <c r="I9" i="14"/>
  <c r="P9" i="1"/>
  <c r="I18" i="14"/>
  <c r="P27" i="1"/>
  <c r="I23" i="14"/>
  <c r="P37" i="1"/>
  <c r="I17" i="14"/>
  <c r="P25" i="1"/>
  <c r="M11" i="8"/>
  <c r="M23" i="8"/>
  <c r="M7" i="8"/>
  <c r="M52" i="3" s="1"/>
  <c r="I21" i="14"/>
  <c r="P33" i="1"/>
  <c r="I11" i="14"/>
  <c r="P13" i="1"/>
  <c r="I10" i="14"/>
  <c r="P11" i="1"/>
  <c r="I6" i="14"/>
  <c r="P3" i="1"/>
  <c r="I13" i="14"/>
  <c r="P17" i="1"/>
  <c r="E28" i="12"/>
  <c r="M18" i="8"/>
  <c r="M22" i="8"/>
  <c r="M10" i="8"/>
  <c r="M14" i="8"/>
  <c r="M4" i="8"/>
  <c r="M49" i="3" s="1"/>
  <c r="M5" i="8"/>
  <c r="M50" i="3" s="1"/>
  <c r="M15" i="8"/>
  <c r="M21" i="8"/>
  <c r="M9" i="8"/>
  <c r="M54" i="3" s="1"/>
  <c r="M20" i="8"/>
  <c r="M8" i="8"/>
  <c r="M53" i="3" s="1"/>
  <c r="M17" i="8"/>
  <c r="M12" i="8"/>
  <c r="M13" i="8"/>
  <c r="M19" i="8"/>
  <c r="M16" i="8"/>
  <c r="A59" i="24" l="1"/>
  <c r="A657" i="13"/>
  <c r="BL4" i="10"/>
  <c r="U3" i="10"/>
  <c r="V2" i="10" s="1"/>
  <c r="V5" i="10" s="1"/>
  <c r="M21" i="3"/>
  <c r="M22" i="3"/>
  <c r="M23" i="3"/>
  <c r="M24" i="3"/>
  <c r="M19" i="3"/>
  <c r="M20" i="3"/>
  <c r="M25" i="3"/>
  <c r="M26" i="3"/>
  <c r="M55" i="3"/>
  <c r="N6" i="8"/>
  <c r="N51" i="3" s="1"/>
  <c r="M51" i="3"/>
  <c r="M13" i="3"/>
  <c r="J8" i="14"/>
  <c r="F25" i="12"/>
  <c r="F20" i="12"/>
  <c r="F10" i="12"/>
  <c r="M37" i="3"/>
  <c r="L3" i="3"/>
  <c r="M7" i="3"/>
  <c r="M14" i="3"/>
  <c r="M11" i="3"/>
  <c r="M6" i="3"/>
  <c r="M10" i="3"/>
  <c r="M35" i="3"/>
  <c r="M18" i="3"/>
  <c r="M5" i="3"/>
  <c r="M12" i="3"/>
  <c r="M9" i="3"/>
  <c r="M15" i="3"/>
  <c r="M8" i="3"/>
  <c r="M34" i="3"/>
  <c r="M36" i="3"/>
  <c r="M17" i="3"/>
  <c r="M16" i="3"/>
  <c r="M46" i="3"/>
  <c r="G20" i="12" s="1"/>
  <c r="G23" i="12" s="1"/>
  <c r="M4" i="3"/>
  <c r="M3" i="3" s="1"/>
  <c r="Q7" i="1"/>
  <c r="F15" i="12"/>
  <c r="M45" i="3"/>
  <c r="G15" i="12" s="1"/>
  <c r="G18" i="12" s="1"/>
  <c r="N30" i="3"/>
  <c r="M47" i="3"/>
  <c r="G25" i="12" s="1"/>
  <c r="G28" i="12" s="1"/>
  <c r="M43" i="3"/>
  <c r="M44" i="3"/>
  <c r="G10" i="12" s="1"/>
  <c r="G13" i="12" s="1"/>
  <c r="M38" i="3"/>
  <c r="O28" i="3"/>
  <c r="P26" i="8"/>
  <c r="N10" i="8"/>
  <c r="O10" i="8" s="1"/>
  <c r="E3" i="12"/>
  <c r="E2" i="12" s="1"/>
  <c r="AB1" i="12"/>
  <c r="AB3" i="12" s="1"/>
  <c r="BX3" i="12" s="1"/>
  <c r="P2" i="12"/>
  <c r="N5" i="8"/>
  <c r="N50" i="3" s="1"/>
  <c r="J7" i="14"/>
  <c r="Q5" i="1"/>
  <c r="N15" i="8"/>
  <c r="J17" i="14"/>
  <c r="Q25" i="1"/>
  <c r="N4" i="8"/>
  <c r="J6" i="14"/>
  <c r="Q3" i="1"/>
  <c r="N18" i="8"/>
  <c r="J20" i="14"/>
  <c r="Q31" i="1"/>
  <c r="N8" i="8"/>
  <c r="N53" i="3" s="1"/>
  <c r="J10" i="14"/>
  <c r="Q11" i="1"/>
  <c r="N12" i="8"/>
  <c r="J14" i="14"/>
  <c r="Q19" i="1"/>
  <c r="N7" i="8"/>
  <c r="N52" i="3" s="1"/>
  <c r="J9" i="14"/>
  <c r="Q9" i="1"/>
  <c r="J19" i="14"/>
  <c r="Q29" i="1"/>
  <c r="N14" i="8"/>
  <c r="J16" i="14"/>
  <c r="Q23" i="1"/>
  <c r="J22" i="14"/>
  <c r="Q35" i="1"/>
  <c r="J25" i="14"/>
  <c r="Q41" i="1"/>
  <c r="N23" i="8"/>
  <c r="J12" i="14"/>
  <c r="Q15" i="1"/>
  <c r="N11" i="8"/>
  <c r="J13" i="14"/>
  <c r="Q17" i="1"/>
  <c r="N13" i="8"/>
  <c r="J15" i="14"/>
  <c r="Q21" i="1"/>
  <c r="N16" i="8"/>
  <c r="J18" i="14"/>
  <c r="Q27" i="1"/>
  <c r="N9" i="8"/>
  <c r="N54" i="3" s="1"/>
  <c r="J11" i="14"/>
  <c r="Q13" i="1"/>
  <c r="J21" i="14"/>
  <c r="Q33" i="1"/>
  <c r="N21" i="8"/>
  <c r="J23" i="14"/>
  <c r="Q37" i="1"/>
  <c r="N22" i="8"/>
  <c r="J24" i="14"/>
  <c r="Q39" i="1"/>
  <c r="N20" i="8"/>
  <c r="N19" i="8"/>
  <c r="N17" i="8"/>
  <c r="A60" i="24" l="1"/>
  <c r="A658" i="13"/>
  <c r="BM4" i="10"/>
  <c r="AD3" i="10"/>
  <c r="N55" i="3"/>
  <c r="N19" i="3"/>
  <c r="N20" i="3"/>
  <c r="N21" i="3"/>
  <c r="N22" i="3"/>
  <c r="N23" i="3"/>
  <c r="N24" i="3"/>
  <c r="N25" i="3"/>
  <c r="N26" i="3"/>
  <c r="N38" i="3"/>
  <c r="O6" i="8"/>
  <c r="L8" i="14" s="1"/>
  <c r="R7" i="1"/>
  <c r="K8" i="14"/>
  <c r="O4" i="8"/>
  <c r="O49" i="3" s="1"/>
  <c r="N49" i="3"/>
  <c r="F28" i="12"/>
  <c r="F23" i="12"/>
  <c r="F18" i="12"/>
  <c r="F13" i="12"/>
  <c r="AB2" i="12"/>
  <c r="AN1" i="12"/>
  <c r="N17" i="3"/>
  <c r="G5" i="12"/>
  <c r="N36" i="3"/>
  <c r="N10" i="3"/>
  <c r="M3" i="8"/>
  <c r="N13" i="3"/>
  <c r="N14" i="3"/>
  <c r="N9" i="3"/>
  <c r="N18" i="3"/>
  <c r="N5" i="3"/>
  <c r="N6" i="3"/>
  <c r="N8" i="3"/>
  <c r="N37" i="3"/>
  <c r="N4" i="3"/>
  <c r="N34" i="3"/>
  <c r="N16" i="3"/>
  <c r="N47" i="3"/>
  <c r="H25" i="12" s="1"/>
  <c r="N15" i="3"/>
  <c r="N7" i="3"/>
  <c r="N11" i="3"/>
  <c r="N46" i="3"/>
  <c r="H20" i="12" s="1"/>
  <c r="N12" i="3"/>
  <c r="N35" i="3"/>
  <c r="N44" i="3"/>
  <c r="K12" i="14"/>
  <c r="N45" i="3"/>
  <c r="H15" i="12" s="1"/>
  <c r="N43" i="3"/>
  <c r="H5" i="12" s="1"/>
  <c r="O30" i="3"/>
  <c r="P28" i="3"/>
  <c r="R15" i="1"/>
  <c r="O21" i="8"/>
  <c r="O16" i="8"/>
  <c r="L18" i="14" s="1"/>
  <c r="O15" i="8"/>
  <c r="P15" i="8" s="1"/>
  <c r="R26" i="8"/>
  <c r="O9" i="8"/>
  <c r="O18" i="8"/>
  <c r="L20" i="14" s="1"/>
  <c r="Q3" i="12"/>
  <c r="Q2" i="12" s="1"/>
  <c r="AC3" i="12"/>
  <c r="AC2" i="12" s="1"/>
  <c r="F3" i="12"/>
  <c r="F2" i="12" s="1"/>
  <c r="D21" i="12"/>
  <c r="D26" i="12"/>
  <c r="D11" i="12"/>
  <c r="D16" i="12"/>
  <c r="O13" i="8"/>
  <c r="P13" i="8" s="1"/>
  <c r="K15" i="14"/>
  <c r="R21" i="1"/>
  <c r="K9" i="14"/>
  <c r="R9" i="1"/>
  <c r="O7" i="8"/>
  <c r="O52" i="3" s="1"/>
  <c r="O12" i="8"/>
  <c r="K14" i="14"/>
  <c r="R19" i="1"/>
  <c r="K23" i="14"/>
  <c r="R37" i="1"/>
  <c r="K18" i="14"/>
  <c r="R27" i="1"/>
  <c r="P10" i="8"/>
  <c r="L12" i="14"/>
  <c r="S15" i="1"/>
  <c r="O14" i="8"/>
  <c r="K16" i="14"/>
  <c r="R23" i="1"/>
  <c r="K6" i="14"/>
  <c r="R3" i="1"/>
  <c r="O17" i="8"/>
  <c r="K19" i="14"/>
  <c r="R29" i="1"/>
  <c r="K21" i="14"/>
  <c r="R33" i="1"/>
  <c r="K25" i="14"/>
  <c r="R41" i="1"/>
  <c r="O23" i="8"/>
  <c r="K20" i="14"/>
  <c r="R31" i="1"/>
  <c r="O5" i="8"/>
  <c r="O50" i="3" s="1"/>
  <c r="K7" i="14"/>
  <c r="R5" i="1"/>
  <c r="K13" i="14"/>
  <c r="R17" i="1"/>
  <c r="O11" i="8"/>
  <c r="O20" i="8"/>
  <c r="K22" i="14"/>
  <c r="R35" i="1"/>
  <c r="O8" i="8"/>
  <c r="O53" i="3" s="1"/>
  <c r="K10" i="14"/>
  <c r="R11" i="1"/>
  <c r="K17" i="14"/>
  <c r="R25" i="1"/>
  <c r="K24" i="14"/>
  <c r="R39" i="1"/>
  <c r="O22" i="8"/>
  <c r="K11" i="14"/>
  <c r="R13" i="1"/>
  <c r="Q26" i="8"/>
  <c r="O19" i="8"/>
  <c r="A61" i="24" l="1"/>
  <c r="A659" i="13"/>
  <c r="AE2" i="10"/>
  <c r="AE5" i="10" s="1"/>
  <c r="BN4" i="10"/>
  <c r="L6" i="14"/>
  <c r="O19" i="3"/>
  <c r="O20" i="3"/>
  <c r="O21" i="3"/>
  <c r="O22" i="3"/>
  <c r="O23" i="3"/>
  <c r="O24" i="3"/>
  <c r="O25" i="3"/>
  <c r="O26" i="3"/>
  <c r="O55" i="3"/>
  <c r="P6" i="8"/>
  <c r="M8" i="14" s="1"/>
  <c r="S7" i="1"/>
  <c r="O51" i="3"/>
  <c r="S3" i="1"/>
  <c r="P9" i="8"/>
  <c r="P54" i="3" s="1"/>
  <c r="O54" i="3"/>
  <c r="P4" i="8"/>
  <c r="P49" i="3" s="1"/>
  <c r="G8" i="12"/>
  <c r="AW3" i="12"/>
  <c r="AW2" i="12" s="1"/>
  <c r="AQ3" i="12"/>
  <c r="AQ2" i="12" s="1"/>
  <c r="AY3" i="12"/>
  <c r="AY2" i="12" s="1"/>
  <c r="AS3" i="12"/>
  <c r="AS2" i="12" s="1"/>
  <c r="AT3" i="12"/>
  <c r="AT2" i="12" s="1"/>
  <c r="AR3" i="12"/>
  <c r="AR2" i="12" s="1"/>
  <c r="AP3" i="12"/>
  <c r="AP2" i="12" s="1"/>
  <c r="AU3" i="12"/>
  <c r="AU2" i="12" s="1"/>
  <c r="AV3" i="12"/>
  <c r="AV2" i="12" s="1"/>
  <c r="AO3" i="12"/>
  <c r="AO2" i="12" s="1"/>
  <c r="AX3" i="12"/>
  <c r="AX2" i="12" s="1"/>
  <c r="AN3" i="12"/>
  <c r="O17" i="3"/>
  <c r="P30" i="3"/>
  <c r="H10" i="12"/>
  <c r="N3" i="3"/>
  <c r="P16" i="8"/>
  <c r="M18" i="14" s="1"/>
  <c r="O14" i="3"/>
  <c r="O10" i="3"/>
  <c r="O9" i="3"/>
  <c r="O18" i="3"/>
  <c r="O13" i="3"/>
  <c r="O37" i="3"/>
  <c r="O16" i="3"/>
  <c r="O7" i="3"/>
  <c r="O36" i="3"/>
  <c r="O12" i="3"/>
  <c r="O6" i="3"/>
  <c r="O34" i="3"/>
  <c r="O11" i="3"/>
  <c r="O35" i="3"/>
  <c r="O44" i="3"/>
  <c r="I10" i="12" s="1"/>
  <c r="O15" i="3"/>
  <c r="O47" i="3"/>
  <c r="O38" i="3"/>
  <c r="O5" i="3"/>
  <c r="O8" i="3"/>
  <c r="O45" i="3"/>
  <c r="I15" i="12" s="1"/>
  <c r="N3" i="8"/>
  <c r="O4" i="3"/>
  <c r="O43" i="3"/>
  <c r="O46" i="3"/>
  <c r="Q28" i="3"/>
  <c r="S27" i="1"/>
  <c r="S25" i="1"/>
  <c r="S31" i="1"/>
  <c r="L17" i="14"/>
  <c r="S13" i="1"/>
  <c r="L11" i="14"/>
  <c r="P20" i="8"/>
  <c r="Q20" i="8" s="1"/>
  <c r="P18" i="8"/>
  <c r="Q18" i="8" s="1"/>
  <c r="S37" i="1"/>
  <c r="P23" i="8"/>
  <c r="L23" i="14"/>
  <c r="P17" i="8"/>
  <c r="Q17" i="8" s="1"/>
  <c r="P21" i="8"/>
  <c r="M23" i="14" s="1"/>
  <c r="E21" i="12"/>
  <c r="E11" i="12"/>
  <c r="E16" i="12"/>
  <c r="E6" i="12"/>
  <c r="E26" i="12"/>
  <c r="G3" i="12"/>
  <c r="G2" i="12" s="1"/>
  <c r="AD3" i="12"/>
  <c r="AD2" i="12" s="1"/>
  <c r="R3" i="12"/>
  <c r="R2" i="12" s="1"/>
  <c r="M15" i="14"/>
  <c r="T21" i="1"/>
  <c r="L24" i="14"/>
  <c r="S39" i="1"/>
  <c r="P22" i="8"/>
  <c r="Q22" i="8" s="1"/>
  <c r="L10" i="14"/>
  <c r="S11" i="1"/>
  <c r="P8" i="8"/>
  <c r="L16" i="14"/>
  <c r="S23" i="1"/>
  <c r="P14" i="8"/>
  <c r="Q14" i="8" s="1"/>
  <c r="L19" i="14"/>
  <c r="S29" i="1"/>
  <c r="L21" i="14"/>
  <c r="S33" i="1"/>
  <c r="L13" i="14"/>
  <c r="S17" i="1"/>
  <c r="P11" i="8"/>
  <c r="L7" i="14"/>
  <c r="S5" i="1"/>
  <c r="P5" i="8"/>
  <c r="L25" i="14"/>
  <c r="S41" i="1"/>
  <c r="L14" i="14"/>
  <c r="S19" i="1"/>
  <c r="P12" i="8"/>
  <c r="Q12" i="8" s="1"/>
  <c r="M12" i="14"/>
  <c r="T15" i="1"/>
  <c r="L9" i="14"/>
  <c r="S9" i="1"/>
  <c r="P7" i="8"/>
  <c r="L22" i="14"/>
  <c r="S35" i="1"/>
  <c r="M17" i="14"/>
  <c r="T25" i="1"/>
  <c r="L15" i="14"/>
  <c r="S21" i="1"/>
  <c r="H28" i="12"/>
  <c r="H18" i="12"/>
  <c r="H23" i="12"/>
  <c r="H8" i="12"/>
  <c r="Q15" i="8"/>
  <c r="Q13" i="8"/>
  <c r="Q10" i="8"/>
  <c r="U26" i="8"/>
  <c r="S26" i="8"/>
  <c r="P19" i="8"/>
  <c r="A62" i="24" l="1"/>
  <c r="A660" i="13"/>
  <c r="BL26" i="8"/>
  <c r="AN2" i="12"/>
  <c r="BY3" i="12"/>
  <c r="P12" i="3"/>
  <c r="P19" i="3"/>
  <c r="P20" i="3"/>
  <c r="P21" i="3"/>
  <c r="P22" i="3"/>
  <c r="P23" i="3"/>
  <c r="P24" i="3"/>
  <c r="P25" i="3"/>
  <c r="P26" i="3"/>
  <c r="P38" i="3"/>
  <c r="M11" i="14"/>
  <c r="Q9" i="8"/>
  <c r="N11" i="14" s="1"/>
  <c r="Q6" i="8"/>
  <c r="Q51" i="3" s="1"/>
  <c r="T7" i="1"/>
  <c r="T13" i="1"/>
  <c r="P51" i="3"/>
  <c r="Q4" i="8"/>
  <c r="Q49" i="3" s="1"/>
  <c r="T3" i="1"/>
  <c r="M6" i="14"/>
  <c r="M25" i="14"/>
  <c r="P55" i="3"/>
  <c r="Q7" i="8"/>
  <c r="Q52" i="3" s="1"/>
  <c r="P52" i="3"/>
  <c r="Q8" i="8"/>
  <c r="Q53" i="3" s="1"/>
  <c r="P53" i="3"/>
  <c r="Q5" i="8"/>
  <c r="Q50" i="3" s="1"/>
  <c r="P50" i="3"/>
  <c r="H13" i="12"/>
  <c r="Q16" i="8"/>
  <c r="R16" i="8" s="1"/>
  <c r="S16" i="8" s="1"/>
  <c r="T27" i="1"/>
  <c r="P36" i="3"/>
  <c r="P7" i="3"/>
  <c r="P15" i="3"/>
  <c r="P18" i="3"/>
  <c r="P9" i="3"/>
  <c r="P10" i="3"/>
  <c r="P17" i="3"/>
  <c r="P16" i="3"/>
  <c r="P14" i="3"/>
  <c r="P43" i="3"/>
  <c r="J5" i="12" s="1"/>
  <c r="J8" i="12" s="1"/>
  <c r="P11" i="3"/>
  <c r="P37" i="3"/>
  <c r="P47" i="3"/>
  <c r="J25" i="12" s="1"/>
  <c r="P35" i="3"/>
  <c r="P8" i="3"/>
  <c r="P34" i="3"/>
  <c r="P6" i="3"/>
  <c r="P44" i="3"/>
  <c r="J10" i="12" s="1"/>
  <c r="J13" i="12" s="1"/>
  <c r="P13" i="3"/>
  <c r="Q30" i="3"/>
  <c r="I25" i="12"/>
  <c r="I28" i="12" s="1"/>
  <c r="I20" i="12"/>
  <c r="I5" i="12"/>
  <c r="P5" i="3"/>
  <c r="O3" i="3"/>
  <c r="P45" i="3"/>
  <c r="J15" i="12" s="1"/>
  <c r="P4" i="3"/>
  <c r="P3" i="8" s="1"/>
  <c r="P46" i="3"/>
  <c r="J20" i="12" s="1"/>
  <c r="O3" i="8"/>
  <c r="R28" i="3"/>
  <c r="S28" i="3" s="1"/>
  <c r="T28" i="3" s="1"/>
  <c r="U28" i="3" s="1"/>
  <c r="V28" i="3" s="1"/>
  <c r="W28" i="3" s="1"/>
  <c r="X28" i="3" s="1"/>
  <c r="Y28" i="3" s="1"/>
  <c r="Z28" i="3" s="1"/>
  <c r="AA28" i="3" s="1"/>
  <c r="AB28" i="3" s="1"/>
  <c r="AC28" i="3" s="1"/>
  <c r="AD28" i="3" s="1"/>
  <c r="AE28" i="3" s="1"/>
  <c r="AF28" i="3" s="1"/>
  <c r="AG28" i="3" s="1"/>
  <c r="AH28" i="3" s="1"/>
  <c r="AI28" i="3" s="1"/>
  <c r="AJ28" i="3" s="1"/>
  <c r="AK28" i="3" s="1"/>
  <c r="AL28" i="3" s="1"/>
  <c r="AM28" i="3" s="1"/>
  <c r="AN28" i="3" s="1"/>
  <c r="AO28" i="3" s="1"/>
  <c r="AP28" i="3" s="1"/>
  <c r="AQ28" i="3" s="1"/>
  <c r="AR28" i="3" s="1"/>
  <c r="AS28" i="3" s="1"/>
  <c r="AT28" i="3" s="1"/>
  <c r="T35" i="1"/>
  <c r="M22" i="14"/>
  <c r="Q23" i="8"/>
  <c r="T37" i="1"/>
  <c r="T41" i="1"/>
  <c r="T29" i="1"/>
  <c r="M20" i="14"/>
  <c r="T31" i="1"/>
  <c r="M19" i="14"/>
  <c r="Q21" i="8"/>
  <c r="R21" i="8" s="1"/>
  <c r="O23" i="14" s="1"/>
  <c r="AE3" i="12"/>
  <c r="AE2" i="12" s="1"/>
  <c r="F21" i="12"/>
  <c r="F11" i="12"/>
  <c r="F6" i="12"/>
  <c r="F16" i="12"/>
  <c r="F26" i="12"/>
  <c r="H3" i="12"/>
  <c r="H2" i="12" s="1"/>
  <c r="S3" i="12"/>
  <c r="S2" i="12" s="1"/>
  <c r="M16" i="14"/>
  <c r="T23" i="1"/>
  <c r="M24" i="14"/>
  <c r="T39" i="1"/>
  <c r="R12" i="8"/>
  <c r="S12" i="8" s="1"/>
  <c r="N14" i="14"/>
  <c r="U19" i="1"/>
  <c r="M7" i="14"/>
  <c r="T5" i="1"/>
  <c r="R17" i="8"/>
  <c r="S17" i="8" s="1"/>
  <c r="N19" i="14"/>
  <c r="U29" i="1"/>
  <c r="R10" i="8"/>
  <c r="S10" i="8" s="1"/>
  <c r="N12" i="14"/>
  <c r="U15" i="1"/>
  <c r="R22" i="8"/>
  <c r="S22" i="8" s="1"/>
  <c r="N24" i="14"/>
  <c r="U39" i="1"/>
  <c r="R15" i="8"/>
  <c r="N17" i="14"/>
  <c r="U25" i="1"/>
  <c r="M9" i="14"/>
  <c r="T9" i="1"/>
  <c r="M14" i="14"/>
  <c r="T19" i="1"/>
  <c r="R13" i="8"/>
  <c r="N15" i="14"/>
  <c r="U21" i="1"/>
  <c r="M13" i="14"/>
  <c r="T17" i="1"/>
  <c r="Q11" i="8"/>
  <c r="M21" i="14"/>
  <c r="T33" i="1"/>
  <c r="M10" i="14"/>
  <c r="T11" i="1"/>
  <c r="R14" i="8"/>
  <c r="S14" i="8" s="1"/>
  <c r="N16" i="14"/>
  <c r="U23" i="1"/>
  <c r="R18" i="8"/>
  <c r="S18" i="8" s="1"/>
  <c r="N20" i="14"/>
  <c r="U31" i="1"/>
  <c r="R20" i="8"/>
  <c r="S20" i="8" s="1"/>
  <c r="N22" i="14"/>
  <c r="U35" i="1"/>
  <c r="I18" i="12"/>
  <c r="I13" i="12"/>
  <c r="V26" i="8"/>
  <c r="Q19" i="8"/>
  <c r="A63" i="24" l="1"/>
  <c r="A661" i="13"/>
  <c r="Q23" i="3"/>
  <c r="Q24" i="3"/>
  <c r="Q25" i="3"/>
  <c r="Q22" i="3"/>
  <c r="Q19" i="3"/>
  <c r="Q20" i="3"/>
  <c r="Q21" i="3"/>
  <c r="Q26" i="3"/>
  <c r="U7" i="1"/>
  <c r="R6" i="8"/>
  <c r="S6" i="8" s="1"/>
  <c r="S51" i="3" s="1"/>
  <c r="Q54" i="3"/>
  <c r="U13" i="1"/>
  <c r="R9" i="8"/>
  <c r="R54" i="3" s="1"/>
  <c r="N6" i="14"/>
  <c r="U3" i="1"/>
  <c r="R4" i="8"/>
  <c r="R49" i="3" s="1"/>
  <c r="N8" i="14"/>
  <c r="R5" i="8"/>
  <c r="O7" i="14" s="1"/>
  <c r="N10" i="14"/>
  <c r="R8" i="8"/>
  <c r="S8" i="8" s="1"/>
  <c r="S53" i="3" s="1"/>
  <c r="U9" i="1"/>
  <c r="N9" i="14"/>
  <c r="R7" i="8"/>
  <c r="R52" i="3" s="1"/>
  <c r="U11" i="1"/>
  <c r="N25" i="14"/>
  <c r="Q55" i="3"/>
  <c r="U5" i="1"/>
  <c r="N7" i="14"/>
  <c r="U27" i="1"/>
  <c r="I23" i="12"/>
  <c r="I8" i="12"/>
  <c r="N18" i="14"/>
  <c r="Q13" i="3"/>
  <c r="Q38" i="3"/>
  <c r="Q5" i="3"/>
  <c r="Q37" i="3"/>
  <c r="Q8" i="3"/>
  <c r="Q12" i="3"/>
  <c r="Q34" i="3"/>
  <c r="Q14" i="3"/>
  <c r="Q9" i="3"/>
  <c r="Q45" i="3"/>
  <c r="K15" i="12" s="1"/>
  <c r="Q7" i="3"/>
  <c r="Q16" i="3"/>
  <c r="Q18" i="3"/>
  <c r="Q43" i="3"/>
  <c r="K5" i="12" s="1"/>
  <c r="Q15" i="3"/>
  <c r="Q44" i="3"/>
  <c r="K10" i="12" s="1"/>
  <c r="Q10" i="3"/>
  <c r="Q35" i="3"/>
  <c r="Q47" i="3"/>
  <c r="K25" i="12" s="1"/>
  <c r="Q17" i="3"/>
  <c r="Q11" i="3"/>
  <c r="Q36" i="3"/>
  <c r="Q6" i="3"/>
  <c r="AT30" i="3"/>
  <c r="AU28" i="3"/>
  <c r="Q46" i="3"/>
  <c r="K20" i="12" s="1"/>
  <c r="P3" i="3"/>
  <c r="Q4" i="3"/>
  <c r="Q3" i="8" s="1"/>
  <c r="R23" i="8"/>
  <c r="U41" i="1"/>
  <c r="R30" i="3"/>
  <c r="S30" i="3"/>
  <c r="N23" i="14"/>
  <c r="V37" i="1"/>
  <c r="S21" i="8"/>
  <c r="T21" i="8" s="1"/>
  <c r="X37" i="1" s="1"/>
  <c r="U37" i="1"/>
  <c r="T3" i="12"/>
  <c r="T2" i="12" s="1"/>
  <c r="G16" i="12"/>
  <c r="G11" i="12"/>
  <c r="G21" i="12"/>
  <c r="G6" i="12"/>
  <c r="G26" i="12"/>
  <c r="AF3" i="12"/>
  <c r="AF2" i="12" s="1"/>
  <c r="I3" i="12"/>
  <c r="I2" i="12" s="1"/>
  <c r="T10" i="8"/>
  <c r="U10" i="8" s="1"/>
  <c r="BL10" i="8" s="1"/>
  <c r="P12" i="14"/>
  <c r="W15" i="1"/>
  <c r="O14" i="14"/>
  <c r="V19" i="1"/>
  <c r="W26" i="8"/>
  <c r="O16" i="14"/>
  <c r="V23" i="1"/>
  <c r="T12" i="8"/>
  <c r="P14" i="14"/>
  <c r="W19" i="1"/>
  <c r="T18" i="8"/>
  <c r="P20" i="14"/>
  <c r="W31" i="1"/>
  <c r="R11" i="8"/>
  <c r="N13" i="14"/>
  <c r="U17" i="1"/>
  <c r="O19" i="14"/>
  <c r="V29" i="1"/>
  <c r="T14" i="8"/>
  <c r="P16" i="14"/>
  <c r="W23" i="1"/>
  <c r="O22" i="14"/>
  <c r="V35" i="1"/>
  <c r="O15" i="14"/>
  <c r="V21" i="1"/>
  <c r="S15" i="8"/>
  <c r="O17" i="14"/>
  <c r="V25" i="1"/>
  <c r="S13" i="8"/>
  <c r="O12" i="14"/>
  <c r="V15" i="1"/>
  <c r="T16" i="8"/>
  <c r="U16" i="8" s="1"/>
  <c r="BL16" i="8" s="1"/>
  <c r="P18" i="14"/>
  <c r="W27" i="1"/>
  <c r="O18" i="14"/>
  <c r="V27" i="1"/>
  <c r="P24" i="14"/>
  <c r="W39" i="1"/>
  <c r="T20" i="8"/>
  <c r="P22" i="14"/>
  <c r="W35" i="1"/>
  <c r="N21" i="14"/>
  <c r="U33" i="1"/>
  <c r="T17" i="8"/>
  <c r="P19" i="14"/>
  <c r="W29" i="1"/>
  <c r="O20" i="14"/>
  <c r="V31" i="1"/>
  <c r="O24" i="14"/>
  <c r="V39" i="1"/>
  <c r="J23" i="12"/>
  <c r="J18" i="12"/>
  <c r="J28" i="12"/>
  <c r="T22" i="8"/>
  <c r="R19" i="8"/>
  <c r="T30" i="3"/>
  <c r="A64" i="24" l="1"/>
  <c r="A662" i="13"/>
  <c r="R19" i="3"/>
  <c r="S19" i="3" s="1"/>
  <c r="T19" i="3" s="1"/>
  <c r="R20" i="3"/>
  <c r="S20" i="3" s="1"/>
  <c r="R21" i="3"/>
  <c r="R22" i="3"/>
  <c r="R23" i="3"/>
  <c r="R24" i="3"/>
  <c r="R26" i="3"/>
  <c r="R25" i="3"/>
  <c r="R51" i="3"/>
  <c r="S4" i="8"/>
  <c r="S49" i="3" s="1"/>
  <c r="V3" i="1"/>
  <c r="O6" i="14"/>
  <c r="V7" i="1"/>
  <c r="O8" i="14"/>
  <c r="S9" i="8"/>
  <c r="S54" i="3" s="1"/>
  <c r="V13" i="1"/>
  <c r="O11" i="14"/>
  <c r="O10" i="14"/>
  <c r="R50" i="3"/>
  <c r="V5" i="1"/>
  <c r="S5" i="8"/>
  <c r="S50" i="3" s="1"/>
  <c r="V11" i="1"/>
  <c r="R53" i="3"/>
  <c r="O9" i="14"/>
  <c r="V9" i="1"/>
  <c r="W11" i="1"/>
  <c r="S7" i="8"/>
  <c r="S52" i="3" s="1"/>
  <c r="W7" i="1"/>
  <c r="P8" i="14"/>
  <c r="T6" i="8"/>
  <c r="T51" i="3" s="1"/>
  <c r="P10" i="14"/>
  <c r="T8" i="8"/>
  <c r="U8" i="8" s="1"/>
  <c r="BL8" i="8" s="1"/>
  <c r="S23" i="8"/>
  <c r="R55" i="3"/>
  <c r="R16" i="3"/>
  <c r="S16" i="3" s="1"/>
  <c r="V41" i="1"/>
  <c r="O25" i="14"/>
  <c r="AU30" i="3"/>
  <c r="AV28" i="3"/>
  <c r="Q3" i="3"/>
  <c r="R4" i="3"/>
  <c r="R3" i="3" s="1"/>
  <c r="R37" i="3"/>
  <c r="S37" i="3" s="1"/>
  <c r="T37" i="3" s="1"/>
  <c r="R9" i="3"/>
  <c r="S9" i="3" s="1"/>
  <c r="R5" i="3"/>
  <c r="S5" i="3" s="1"/>
  <c r="R18" i="3"/>
  <c r="S18" i="3" s="1"/>
  <c r="R38" i="3"/>
  <c r="S38" i="3" s="1"/>
  <c r="R7" i="3"/>
  <c r="S7" i="3" s="1"/>
  <c r="R44" i="3"/>
  <c r="L10" i="12" s="1"/>
  <c r="L13" i="12" s="1"/>
  <c r="R10" i="3"/>
  <c r="S10" i="3" s="1"/>
  <c r="R15" i="3"/>
  <c r="S15" i="3" s="1"/>
  <c r="R17" i="3"/>
  <c r="S17" i="3" s="1"/>
  <c r="R46" i="3"/>
  <c r="L20" i="12" s="1"/>
  <c r="L23" i="12" s="1"/>
  <c r="R11" i="3"/>
  <c r="S11" i="3" s="1"/>
  <c r="R47" i="3"/>
  <c r="S47" i="3" s="1"/>
  <c r="T47" i="3" s="1"/>
  <c r="R34" i="3"/>
  <c r="S34" i="3" s="1"/>
  <c r="R12" i="3"/>
  <c r="S12" i="3" s="1"/>
  <c r="R35" i="3"/>
  <c r="S35" i="3" s="1"/>
  <c r="R13" i="3"/>
  <c r="S13" i="3" s="1"/>
  <c r="R8" i="3"/>
  <c r="S8" i="3" s="1"/>
  <c r="R43" i="3"/>
  <c r="S43" i="3" s="1"/>
  <c r="M5" i="12" s="1"/>
  <c r="R14" i="3"/>
  <c r="S14" i="3" s="1"/>
  <c r="R6" i="3"/>
  <c r="S6" i="3" s="1"/>
  <c r="T6" i="3" s="1"/>
  <c r="R45" i="3"/>
  <c r="S45" i="3" s="1"/>
  <c r="R36" i="3"/>
  <c r="S36" i="3" s="1"/>
  <c r="T36" i="3" s="1"/>
  <c r="W37" i="1"/>
  <c r="P23" i="14"/>
  <c r="Q23" i="14"/>
  <c r="U21" i="8"/>
  <c r="H16" i="12"/>
  <c r="H11" i="12"/>
  <c r="H26" i="12"/>
  <c r="H6" i="12"/>
  <c r="H21" i="12"/>
  <c r="J3" i="12"/>
  <c r="J2" i="12" s="1"/>
  <c r="U3" i="12"/>
  <c r="U2" i="12" s="1"/>
  <c r="AG3" i="12"/>
  <c r="AG2" i="12" s="1"/>
  <c r="U18" i="8"/>
  <c r="BL18" i="8" s="1"/>
  <c r="Q20" i="14"/>
  <c r="X31" i="1"/>
  <c r="O21" i="14"/>
  <c r="V33" i="1"/>
  <c r="R18" i="14"/>
  <c r="Y27" i="1"/>
  <c r="Q24" i="14"/>
  <c r="X39" i="1"/>
  <c r="O13" i="14"/>
  <c r="V17" i="1"/>
  <c r="S11" i="8"/>
  <c r="Q14" i="14"/>
  <c r="X19" i="1"/>
  <c r="U12" i="8"/>
  <c r="BL12" i="8" s="1"/>
  <c r="Q16" i="14"/>
  <c r="X23" i="1"/>
  <c r="T15" i="8"/>
  <c r="P17" i="14"/>
  <c r="W25" i="1"/>
  <c r="V10" i="8"/>
  <c r="R12" i="14"/>
  <c r="Y15" i="1"/>
  <c r="U20" i="8"/>
  <c r="BL20" i="8" s="1"/>
  <c r="Q22" i="14"/>
  <c r="X35" i="1"/>
  <c r="T13" i="8"/>
  <c r="U13" i="8" s="1"/>
  <c r="BL13" i="8" s="1"/>
  <c r="P15" i="14"/>
  <c r="W21" i="1"/>
  <c r="Q18" i="14"/>
  <c r="X27" i="1"/>
  <c r="Q12" i="14"/>
  <c r="X15" i="1"/>
  <c r="U17" i="8"/>
  <c r="BL17" i="8" s="1"/>
  <c r="Q19" i="14"/>
  <c r="X29" i="1"/>
  <c r="U14" i="8"/>
  <c r="BL14" i="8" s="1"/>
  <c r="K23" i="12"/>
  <c r="K8" i="12"/>
  <c r="K13" i="12"/>
  <c r="K28" i="12"/>
  <c r="K18" i="12"/>
  <c r="U22" i="8"/>
  <c r="BL22" i="8" s="1"/>
  <c r="S19" i="8"/>
  <c r="V16" i="8"/>
  <c r="X26" i="8"/>
  <c r="A65" i="24" l="1"/>
  <c r="A663" i="13"/>
  <c r="W10" i="8"/>
  <c r="T12" i="14" s="1"/>
  <c r="V21" i="8"/>
  <c r="S23" i="14" s="1"/>
  <c r="BL21" i="8"/>
  <c r="S26" i="3"/>
  <c r="T26" i="3" s="1"/>
  <c r="S25" i="3"/>
  <c r="T25" i="3" s="1"/>
  <c r="S24" i="3"/>
  <c r="S23" i="3"/>
  <c r="T20" i="3"/>
  <c r="S22" i="3"/>
  <c r="S21" i="3"/>
  <c r="S55" i="3"/>
  <c r="P11" i="14"/>
  <c r="W3" i="1"/>
  <c r="P6" i="14"/>
  <c r="T4" i="8"/>
  <c r="T49" i="3" s="1"/>
  <c r="W13" i="1"/>
  <c r="T9" i="8"/>
  <c r="T54" i="3" s="1"/>
  <c r="Q10" i="14"/>
  <c r="W5" i="1"/>
  <c r="P7" i="14"/>
  <c r="T5" i="8"/>
  <c r="X11" i="1"/>
  <c r="W9" i="1"/>
  <c r="P9" i="14"/>
  <c r="T7" i="8"/>
  <c r="Q8" i="14"/>
  <c r="U6" i="8"/>
  <c r="X7" i="1"/>
  <c r="T53" i="3"/>
  <c r="Y11" i="1"/>
  <c r="R10" i="14"/>
  <c r="T23" i="8"/>
  <c r="P25" i="14"/>
  <c r="V8" i="8"/>
  <c r="U53" i="3"/>
  <c r="W41" i="1"/>
  <c r="S4" i="3"/>
  <c r="S3" i="3" s="1"/>
  <c r="L15" i="12"/>
  <c r="L18" i="12" s="1"/>
  <c r="S46" i="3"/>
  <c r="T46" i="3" s="1"/>
  <c r="N20" i="12" s="1"/>
  <c r="R3" i="8"/>
  <c r="L25" i="12"/>
  <c r="L28" i="12" s="1"/>
  <c r="S44" i="3"/>
  <c r="T44" i="3" s="1"/>
  <c r="N10" i="12" s="1"/>
  <c r="AV30" i="3"/>
  <c r="AW28" i="3"/>
  <c r="L5" i="12"/>
  <c r="L8" i="12" s="1"/>
  <c r="T38" i="3"/>
  <c r="Y37" i="1"/>
  <c r="AY37" i="1" s="1"/>
  <c r="R23" i="14"/>
  <c r="AY27" i="1"/>
  <c r="T35" i="3"/>
  <c r="T13" i="3"/>
  <c r="T5" i="3"/>
  <c r="T8" i="3"/>
  <c r="I11" i="12"/>
  <c r="I16" i="12"/>
  <c r="I6" i="12"/>
  <c r="I26" i="12"/>
  <c r="I21" i="12"/>
  <c r="V3" i="12"/>
  <c r="V2" i="12" s="1"/>
  <c r="K3" i="12"/>
  <c r="K2" i="12" s="1"/>
  <c r="AH3" i="12"/>
  <c r="AH2" i="12" s="1"/>
  <c r="V22" i="8"/>
  <c r="R24" i="14"/>
  <c r="Y39" i="1"/>
  <c r="AY39" i="1" s="1"/>
  <c r="R15" i="14"/>
  <c r="Y21" i="1"/>
  <c r="Q17" i="14"/>
  <c r="X25" i="1"/>
  <c r="R14" i="14"/>
  <c r="Y19" i="1"/>
  <c r="AY19" i="1" s="1"/>
  <c r="V12" i="8"/>
  <c r="V18" i="8"/>
  <c r="R20" i="14"/>
  <c r="Y31" i="1"/>
  <c r="AY31" i="1" s="1"/>
  <c r="V20" i="8"/>
  <c r="R22" i="14"/>
  <c r="Y35" i="1"/>
  <c r="AY35" i="1" s="1"/>
  <c r="R16" i="14"/>
  <c r="Y23" i="1"/>
  <c r="AY23" i="1" s="1"/>
  <c r="V14" i="8"/>
  <c r="AY15" i="1"/>
  <c r="Q15" i="14"/>
  <c r="X21" i="1"/>
  <c r="V13" i="8"/>
  <c r="W16" i="8"/>
  <c r="X16" i="8" s="1"/>
  <c r="S18" i="14"/>
  <c r="Z27" i="1"/>
  <c r="S12" i="14"/>
  <c r="Z15" i="1"/>
  <c r="P21" i="14"/>
  <c r="W33" i="1"/>
  <c r="V17" i="8"/>
  <c r="R19" i="14"/>
  <c r="Y29" i="1"/>
  <c r="AY29" i="1" s="1"/>
  <c r="U15" i="8"/>
  <c r="BL15" i="8" s="1"/>
  <c r="T11" i="8"/>
  <c r="P13" i="14"/>
  <c r="W17" i="1"/>
  <c r="M25" i="12"/>
  <c r="M15" i="12"/>
  <c r="M8" i="12"/>
  <c r="N25" i="12"/>
  <c r="T7" i="3"/>
  <c r="T43" i="3"/>
  <c r="T45" i="3"/>
  <c r="T34" i="3"/>
  <c r="T15" i="3"/>
  <c r="T17" i="3"/>
  <c r="T18" i="3"/>
  <c r="T16" i="3"/>
  <c r="T14" i="3"/>
  <c r="T12" i="3"/>
  <c r="T11" i="3"/>
  <c r="T10" i="3"/>
  <c r="T9" i="3"/>
  <c r="T19" i="8"/>
  <c r="Y26" i="8"/>
  <c r="U30" i="3"/>
  <c r="A66" i="24" l="1"/>
  <c r="A664" i="13"/>
  <c r="X10" i="8"/>
  <c r="U12" i="14" s="1"/>
  <c r="W21" i="8"/>
  <c r="X21" i="8" s="1"/>
  <c r="U23" i="14" s="1"/>
  <c r="AA15" i="1"/>
  <c r="Z37" i="1"/>
  <c r="V53" i="3"/>
  <c r="U51" i="3"/>
  <c r="BL6" i="8"/>
  <c r="T24" i="3"/>
  <c r="U24" i="3" s="1"/>
  <c r="T23" i="3"/>
  <c r="T21" i="3"/>
  <c r="U21" i="3" s="1"/>
  <c r="T22" i="3"/>
  <c r="U22" i="3" s="1"/>
  <c r="U19" i="3"/>
  <c r="U20" i="3"/>
  <c r="U26" i="3"/>
  <c r="U25" i="3"/>
  <c r="T55" i="3"/>
  <c r="X3" i="1"/>
  <c r="Q6" i="14"/>
  <c r="U4" i="8"/>
  <c r="U9" i="8"/>
  <c r="X13" i="1"/>
  <c r="Q11" i="14"/>
  <c r="U5" i="8"/>
  <c r="BL5" i="8" s="1"/>
  <c r="X5" i="1"/>
  <c r="T50" i="3"/>
  <c r="Q7" i="14"/>
  <c r="Y7" i="1"/>
  <c r="AY7" i="1" s="1"/>
  <c r="R8" i="14"/>
  <c r="V6" i="8"/>
  <c r="AY11" i="1"/>
  <c r="X41" i="1"/>
  <c r="Q25" i="14"/>
  <c r="U23" i="8"/>
  <c r="BL23" i="8" s="1"/>
  <c r="T52" i="3"/>
  <c r="X9" i="1"/>
  <c r="U7" i="8"/>
  <c r="BL7" i="8" s="1"/>
  <c r="Q9" i="14"/>
  <c r="S10" i="14"/>
  <c r="Z11" i="1"/>
  <c r="W8" i="8"/>
  <c r="W53" i="3" s="1"/>
  <c r="T4" i="3"/>
  <c r="T3" i="3" s="1"/>
  <c r="S3" i="8"/>
  <c r="M20" i="12"/>
  <c r="M23" i="12" s="1"/>
  <c r="U38" i="3"/>
  <c r="C9" i="10" s="1"/>
  <c r="M10" i="12"/>
  <c r="M13" i="12" s="1"/>
  <c r="AW30" i="3"/>
  <c r="AX28" i="3"/>
  <c r="AY21" i="1"/>
  <c r="L3" i="12"/>
  <c r="L2" i="12" s="1"/>
  <c r="W3" i="12"/>
  <c r="W2" i="12" s="1"/>
  <c r="AI3" i="12"/>
  <c r="AI2" i="12" s="1"/>
  <c r="J6" i="12"/>
  <c r="J11" i="12"/>
  <c r="J21" i="12"/>
  <c r="J26" i="12"/>
  <c r="J16" i="12"/>
  <c r="R17" i="14"/>
  <c r="Y25" i="1"/>
  <c r="AY25" i="1" s="1"/>
  <c r="T18" i="14"/>
  <c r="AA27" i="1"/>
  <c r="Q13" i="14"/>
  <c r="X17" i="1"/>
  <c r="S20" i="14"/>
  <c r="Z31" i="1"/>
  <c r="W18" i="8"/>
  <c r="S15" i="14"/>
  <c r="Z21" i="1"/>
  <c r="W13" i="8"/>
  <c r="Q21" i="14"/>
  <c r="X33" i="1"/>
  <c r="S16" i="14"/>
  <c r="Z23" i="1"/>
  <c r="S22" i="14"/>
  <c r="Z35" i="1"/>
  <c r="W20" i="8"/>
  <c r="S14" i="14"/>
  <c r="Z19" i="1"/>
  <c r="W12" i="8"/>
  <c r="U18" i="14"/>
  <c r="AB27" i="1"/>
  <c r="S19" i="14"/>
  <c r="Z29" i="1"/>
  <c r="W17" i="8"/>
  <c r="U11" i="8"/>
  <c r="BL11" i="8" s="1"/>
  <c r="V15" i="8"/>
  <c r="W14" i="8"/>
  <c r="W22" i="8"/>
  <c r="S24" i="14"/>
  <c r="Z39" i="1"/>
  <c r="M28" i="12"/>
  <c r="N28" i="12"/>
  <c r="N23" i="12"/>
  <c r="U15" i="3"/>
  <c r="N15" i="12"/>
  <c r="U35" i="3"/>
  <c r="M18" i="12"/>
  <c r="N13" i="12"/>
  <c r="N5" i="12"/>
  <c r="U11" i="3"/>
  <c r="U17" i="3"/>
  <c r="U43" i="3"/>
  <c r="O5" i="12" s="1"/>
  <c r="U46" i="3"/>
  <c r="U36" i="3"/>
  <c r="U44" i="3"/>
  <c r="U37" i="3"/>
  <c r="C8" i="10" s="1"/>
  <c r="U18" i="3"/>
  <c r="U45" i="3"/>
  <c r="U34" i="3"/>
  <c r="U47" i="3"/>
  <c r="U16" i="3"/>
  <c r="U19" i="8"/>
  <c r="BL19" i="8" s="1"/>
  <c r="Y16" i="8"/>
  <c r="Z26" i="8"/>
  <c r="AB26" i="8"/>
  <c r="U6" i="3"/>
  <c r="U14" i="3"/>
  <c r="U7" i="3"/>
  <c r="U9" i="3"/>
  <c r="U13" i="3"/>
  <c r="U10" i="3"/>
  <c r="U5" i="3"/>
  <c r="U12" i="3"/>
  <c r="U8" i="3"/>
  <c r="V30" i="3"/>
  <c r="H444" i="13" l="1"/>
  <c r="H284" i="13"/>
  <c r="H26" i="13"/>
  <c r="H27" i="13"/>
  <c r="H564" i="13"/>
  <c r="H304" i="13"/>
  <c r="H424" i="13"/>
  <c r="H25" i="13"/>
  <c r="H23" i="13"/>
  <c r="H28" i="13"/>
  <c r="H30" i="13"/>
  <c r="H384" i="13"/>
  <c r="H504" i="13"/>
  <c r="H22" i="13"/>
  <c r="H364" i="13"/>
  <c r="H324" i="13"/>
  <c r="H544" i="13"/>
  <c r="H29" i="13"/>
  <c r="H524" i="13"/>
  <c r="H484" i="13"/>
  <c r="H344" i="13"/>
  <c r="H31" i="13"/>
  <c r="H24" i="13"/>
  <c r="H404" i="13"/>
  <c r="H264" i="13"/>
  <c r="H244" i="13"/>
  <c r="H584" i="13"/>
  <c r="H464" i="13"/>
  <c r="A67" i="24"/>
  <c r="A665" i="13"/>
  <c r="T23" i="14"/>
  <c r="Y21" i="8"/>
  <c r="V23" i="14" s="1"/>
  <c r="AB37" i="1"/>
  <c r="H521" i="13"/>
  <c r="H381" i="13"/>
  <c r="H601" i="13"/>
  <c r="H201" i="13"/>
  <c r="H281" i="13"/>
  <c r="H501" i="13"/>
  <c r="H199" i="13"/>
  <c r="H441" i="13"/>
  <c r="H193" i="13"/>
  <c r="H301" i="13"/>
  <c r="H561" i="13"/>
  <c r="H421" i="13"/>
  <c r="H200" i="13"/>
  <c r="H196" i="13"/>
  <c r="H361" i="13"/>
  <c r="H541" i="13"/>
  <c r="H197" i="13"/>
  <c r="H198" i="13"/>
  <c r="H321" i="13"/>
  <c r="H481" i="13"/>
  <c r="H192" i="13"/>
  <c r="H461" i="13"/>
  <c r="H581" i="13"/>
  <c r="H194" i="13"/>
  <c r="H195" i="13"/>
  <c r="H261" i="13"/>
  <c r="H341" i="13"/>
  <c r="H401" i="13"/>
  <c r="H603" i="13"/>
  <c r="H605" i="13"/>
  <c r="AA37" i="1"/>
  <c r="H403" i="13"/>
  <c r="H503" i="13"/>
  <c r="H303" i="13"/>
  <c r="H523" i="13"/>
  <c r="H323" i="13"/>
  <c r="H423" i="13"/>
  <c r="H383" i="13"/>
  <c r="H443" i="13"/>
  <c r="H543" i="13"/>
  <c r="H243" i="13"/>
  <c r="H343" i="13"/>
  <c r="H563" i="13"/>
  <c r="H363" i="13"/>
  <c r="H463" i="13"/>
  <c r="H263" i="13"/>
  <c r="H483" i="13"/>
  <c r="H583" i="13"/>
  <c r="H283" i="13"/>
  <c r="H225" i="13"/>
  <c r="H233" i="13"/>
  <c r="H241" i="13"/>
  <c r="H227" i="13"/>
  <c r="H235" i="13"/>
  <c r="H228" i="13"/>
  <c r="H236" i="13"/>
  <c r="H229" i="13"/>
  <c r="H230" i="13"/>
  <c r="H231" i="13"/>
  <c r="H232" i="13"/>
  <c r="H237" i="13"/>
  <c r="H238" i="13"/>
  <c r="H240" i="13"/>
  <c r="H223" i="13"/>
  <c r="H239" i="13"/>
  <c r="H224" i="13"/>
  <c r="H226" i="13"/>
  <c r="H234" i="13"/>
  <c r="Y10" i="8"/>
  <c r="V12" i="14" s="1"/>
  <c r="AB15" i="1"/>
  <c r="H19" i="13"/>
  <c r="H12" i="13"/>
  <c r="H20" i="13"/>
  <c r="H13" i="13"/>
  <c r="H21" i="13"/>
  <c r="H14" i="13"/>
  <c r="H15" i="13"/>
  <c r="H16" i="13"/>
  <c r="H17" i="13"/>
  <c r="H18" i="13"/>
  <c r="V51" i="3"/>
  <c r="V9" i="8"/>
  <c r="BL9" i="8"/>
  <c r="U49" i="3"/>
  <c r="BL4" i="8"/>
  <c r="U23" i="3"/>
  <c r="V23" i="3" s="1"/>
  <c r="V19" i="3"/>
  <c r="V20" i="3"/>
  <c r="V21" i="3"/>
  <c r="V22" i="3"/>
  <c r="V24" i="3"/>
  <c r="V25" i="3"/>
  <c r="V26" i="3"/>
  <c r="U55" i="3"/>
  <c r="Y3" i="1"/>
  <c r="AY3" i="1" s="1"/>
  <c r="R6" i="14"/>
  <c r="V4" i="8"/>
  <c r="Y13" i="1"/>
  <c r="AY13" i="1" s="1"/>
  <c r="W6" i="8"/>
  <c r="W51" i="3" s="1"/>
  <c r="U54" i="3"/>
  <c r="R11" i="14"/>
  <c r="Z7" i="1"/>
  <c r="S8" i="14"/>
  <c r="U50" i="3"/>
  <c r="R7" i="14"/>
  <c r="Y5" i="1"/>
  <c r="AY5" i="1" s="1"/>
  <c r="V5" i="8"/>
  <c r="Y41" i="1"/>
  <c r="AY41" i="1" s="1"/>
  <c r="V23" i="8"/>
  <c r="R25" i="14"/>
  <c r="U52" i="3"/>
  <c r="V7" i="8"/>
  <c r="Y9" i="1"/>
  <c r="AY9" i="1" s="1"/>
  <c r="R9" i="14"/>
  <c r="X8" i="8"/>
  <c r="X53" i="3" s="1"/>
  <c r="T10" i="14"/>
  <c r="AA11" i="1"/>
  <c r="U4" i="3"/>
  <c r="U3" i="8" s="1"/>
  <c r="T3" i="8"/>
  <c r="AX30" i="3"/>
  <c r="AY28" i="3"/>
  <c r="F9" i="10"/>
  <c r="H9" i="10"/>
  <c r="E9" i="10"/>
  <c r="G9" i="10"/>
  <c r="G8" i="10"/>
  <c r="E8" i="10"/>
  <c r="H8" i="10"/>
  <c r="F8" i="10"/>
  <c r="K16" i="12"/>
  <c r="K21" i="12"/>
  <c r="K26" i="12"/>
  <c r="K6" i="12"/>
  <c r="K11" i="12"/>
  <c r="M3" i="12"/>
  <c r="M2" i="12" s="1"/>
  <c r="C5" i="10"/>
  <c r="E5" i="10" s="1"/>
  <c r="C6" i="10"/>
  <c r="E6" i="10" s="1"/>
  <c r="C7" i="10"/>
  <c r="AJ3" i="12"/>
  <c r="AJ2" i="12" s="1"/>
  <c r="X3" i="12"/>
  <c r="X2" i="12" s="1"/>
  <c r="T20" i="14"/>
  <c r="AA31" i="1"/>
  <c r="V11" i="8"/>
  <c r="R13" i="14"/>
  <c r="Y17" i="1"/>
  <c r="AY17" i="1" s="1"/>
  <c r="S17" i="14"/>
  <c r="Z25" i="1"/>
  <c r="T14" i="14"/>
  <c r="AA19" i="1"/>
  <c r="X12" i="8"/>
  <c r="T24" i="14"/>
  <c r="AA39" i="1"/>
  <c r="X22" i="8"/>
  <c r="X18" i="8"/>
  <c r="T19" i="14"/>
  <c r="AA29" i="1"/>
  <c r="X17" i="8"/>
  <c r="T15" i="14"/>
  <c r="AA21" i="1"/>
  <c r="X13" i="8"/>
  <c r="W15" i="8"/>
  <c r="X15" i="8" s="1"/>
  <c r="V18" i="14"/>
  <c r="AC27" i="1"/>
  <c r="R21" i="14"/>
  <c r="Y33" i="1"/>
  <c r="AY33" i="1" s="1"/>
  <c r="T16" i="14"/>
  <c r="AA23" i="1"/>
  <c r="X14" i="8"/>
  <c r="X20" i="8"/>
  <c r="T22" i="14"/>
  <c r="AA35" i="1"/>
  <c r="N8" i="12"/>
  <c r="O25" i="12"/>
  <c r="O8" i="12"/>
  <c r="O20" i="12"/>
  <c r="O15" i="12"/>
  <c r="O10" i="12"/>
  <c r="N18" i="12"/>
  <c r="V43" i="3"/>
  <c r="V37" i="3"/>
  <c r="V16" i="3"/>
  <c r="V44" i="3"/>
  <c r="P10" i="12" s="1"/>
  <c r="V36" i="3"/>
  <c r="V46" i="3"/>
  <c r="V45" i="3"/>
  <c r="P15" i="12" s="1"/>
  <c r="V15" i="3"/>
  <c r="V35" i="3"/>
  <c r="V47" i="3"/>
  <c r="V38" i="3"/>
  <c r="V18" i="3"/>
  <c r="V17" i="3"/>
  <c r="V34" i="3"/>
  <c r="V6" i="3"/>
  <c r="Z16" i="8"/>
  <c r="V19" i="8"/>
  <c r="AA26" i="8"/>
  <c r="V7" i="3"/>
  <c r="V11" i="3"/>
  <c r="V10" i="3"/>
  <c r="V9" i="3"/>
  <c r="V5" i="3"/>
  <c r="V12" i="3"/>
  <c r="V14" i="3"/>
  <c r="V8" i="3"/>
  <c r="V13" i="3"/>
  <c r="W30" i="3"/>
  <c r="Z21" i="8" l="1"/>
  <c r="W23" i="14" s="1"/>
  <c r="A68" i="24"/>
  <c r="A666" i="13"/>
  <c r="AC37" i="1"/>
  <c r="H602" i="13"/>
  <c r="H604" i="13"/>
  <c r="AC15" i="1"/>
  <c r="Z10" i="8"/>
  <c r="AD15" i="1" s="1"/>
  <c r="H402" i="13"/>
  <c r="H302" i="13"/>
  <c r="H282" i="13"/>
  <c r="H422" i="13"/>
  <c r="H482" i="13"/>
  <c r="H542" i="13"/>
  <c r="H362" i="13"/>
  <c r="H342" i="13"/>
  <c r="H462" i="13"/>
  <c r="H242" i="13"/>
  <c r="H562" i="13"/>
  <c r="H502" i="13"/>
  <c r="H442" i="13"/>
  <c r="H262" i="13"/>
  <c r="H582" i="13"/>
  <c r="H522" i="13"/>
  <c r="H322" i="13"/>
  <c r="H382" i="13"/>
  <c r="H222" i="13"/>
  <c r="H202" i="13"/>
  <c r="H207" i="13"/>
  <c r="H215" i="13"/>
  <c r="H208" i="13"/>
  <c r="H216" i="13"/>
  <c r="H209" i="13"/>
  <c r="H217" i="13"/>
  <c r="H203" i="13"/>
  <c r="H211" i="13"/>
  <c r="H219" i="13"/>
  <c r="H204" i="13"/>
  <c r="H212" i="13"/>
  <c r="H220" i="13"/>
  <c r="H205" i="13"/>
  <c r="H206" i="13"/>
  <c r="H213" i="13"/>
  <c r="H214" i="13"/>
  <c r="H221" i="13"/>
  <c r="H210" i="13"/>
  <c r="H218" i="13"/>
  <c r="H2" i="13"/>
  <c r="H3" i="13"/>
  <c r="H11" i="13"/>
  <c r="H4" i="13"/>
  <c r="H5" i="13"/>
  <c r="H6" i="13"/>
  <c r="H7" i="13"/>
  <c r="H8" i="13"/>
  <c r="H9" i="13"/>
  <c r="H10" i="13"/>
  <c r="W11" i="8"/>
  <c r="T13" i="14" s="1"/>
  <c r="S11" i="14"/>
  <c r="W9" i="8"/>
  <c r="W54" i="3" s="1"/>
  <c r="Z13" i="1"/>
  <c r="V54" i="3"/>
  <c r="S6" i="14"/>
  <c r="J8" i="10"/>
  <c r="I8" i="10"/>
  <c r="J9" i="10"/>
  <c r="I9" i="10"/>
  <c r="W26" i="3"/>
  <c r="W19" i="3"/>
  <c r="W20" i="3"/>
  <c r="W21" i="3"/>
  <c r="W22" i="3"/>
  <c r="W23" i="3"/>
  <c r="W24" i="3"/>
  <c r="W25" i="3"/>
  <c r="V55" i="3"/>
  <c r="V49" i="3"/>
  <c r="W4" i="8"/>
  <c r="Z3" i="1"/>
  <c r="T8" i="14"/>
  <c r="X6" i="8"/>
  <c r="X51" i="3" s="1"/>
  <c r="AA7" i="1"/>
  <c r="S7" i="14"/>
  <c r="Z5" i="1"/>
  <c r="W5" i="8"/>
  <c r="V50" i="3"/>
  <c r="W23" i="8"/>
  <c r="Z41" i="1"/>
  <c r="S25" i="14"/>
  <c r="V52" i="3"/>
  <c r="W7" i="8"/>
  <c r="S9" i="14"/>
  <c r="Z9" i="1"/>
  <c r="Y8" i="8"/>
  <c r="Y53" i="3" s="1"/>
  <c r="U10" i="14"/>
  <c r="AB11" i="1"/>
  <c r="V4" i="3"/>
  <c r="V3" i="3" s="1"/>
  <c r="U3" i="3"/>
  <c r="AY30" i="3"/>
  <c r="AZ28" i="3"/>
  <c r="G7" i="10"/>
  <c r="F7" i="10"/>
  <c r="E7" i="10"/>
  <c r="H7" i="10"/>
  <c r="H6" i="10"/>
  <c r="G6" i="10"/>
  <c r="F6" i="10"/>
  <c r="AK3" i="12"/>
  <c r="AK2" i="12" s="1"/>
  <c r="N3" i="12"/>
  <c r="G5" i="10"/>
  <c r="H5" i="10"/>
  <c r="F5" i="10"/>
  <c r="Y3" i="12"/>
  <c r="Y2" i="12" s="1"/>
  <c r="L21" i="12"/>
  <c r="L11" i="12"/>
  <c r="L6" i="12"/>
  <c r="L16" i="12"/>
  <c r="L26" i="12"/>
  <c r="U15" i="14"/>
  <c r="AB21" i="1"/>
  <c r="Y13" i="8"/>
  <c r="U20" i="14"/>
  <c r="AB31" i="1"/>
  <c r="U17" i="14"/>
  <c r="AB25" i="1"/>
  <c r="S13" i="14"/>
  <c r="Z17" i="1"/>
  <c r="W18" i="14"/>
  <c r="AD27" i="1"/>
  <c r="U24" i="14"/>
  <c r="AB39" i="1"/>
  <c r="Y22" i="8"/>
  <c r="Y18" i="8"/>
  <c r="AA21" i="8"/>
  <c r="U22" i="14"/>
  <c r="AB35" i="1"/>
  <c r="Y20" i="8"/>
  <c r="U14" i="14"/>
  <c r="AB19" i="1"/>
  <c r="Y12" i="8"/>
  <c r="W19" i="8"/>
  <c r="S21" i="14"/>
  <c r="Z33" i="1"/>
  <c r="U16" i="14"/>
  <c r="AB23" i="1"/>
  <c r="Y14" i="8"/>
  <c r="T17" i="14"/>
  <c r="AA25" i="1"/>
  <c r="Y15" i="8"/>
  <c r="U19" i="14"/>
  <c r="AB29" i="1"/>
  <c r="Y17" i="8"/>
  <c r="P18" i="12"/>
  <c r="P16" i="12"/>
  <c r="O28" i="12"/>
  <c r="O18" i="12"/>
  <c r="P20" i="12"/>
  <c r="O23" i="12"/>
  <c r="P13" i="12"/>
  <c r="P11" i="12"/>
  <c r="P25" i="12"/>
  <c r="P5" i="12"/>
  <c r="O13" i="12"/>
  <c r="W44" i="3"/>
  <c r="W45" i="3"/>
  <c r="W35" i="3"/>
  <c r="W15" i="3"/>
  <c r="W6" i="3"/>
  <c r="W16" i="3"/>
  <c r="W46" i="3"/>
  <c r="W7" i="3"/>
  <c r="W18" i="3"/>
  <c r="W36" i="3"/>
  <c r="W37" i="3"/>
  <c r="W34" i="3"/>
  <c r="W38" i="3"/>
  <c r="W17" i="3"/>
  <c r="W12" i="3"/>
  <c r="W47" i="3"/>
  <c r="W43" i="3"/>
  <c r="Q5" i="12" s="1"/>
  <c r="AA16" i="8"/>
  <c r="W9" i="3"/>
  <c r="W10" i="3"/>
  <c r="W11" i="3"/>
  <c r="W5" i="3"/>
  <c r="W8" i="3"/>
  <c r="W13" i="3"/>
  <c r="W14" i="3"/>
  <c r="X30" i="3"/>
  <c r="AD37" i="1" l="1"/>
  <c r="A69" i="24"/>
  <c r="A667" i="13"/>
  <c r="W12" i="14"/>
  <c r="AA10" i="8"/>
  <c r="AE15" i="1" s="1"/>
  <c r="AA17" i="1"/>
  <c r="X11" i="8"/>
  <c r="AB17" i="1" s="1"/>
  <c r="T11" i="14"/>
  <c r="AA13" i="1"/>
  <c r="X9" i="8"/>
  <c r="X54" i="3" s="1"/>
  <c r="W49" i="3"/>
  <c r="J6" i="10"/>
  <c r="I6" i="10"/>
  <c r="J7" i="10"/>
  <c r="I7" i="10"/>
  <c r="I5" i="10"/>
  <c r="J5" i="10"/>
  <c r="X19" i="3"/>
  <c r="X20" i="3"/>
  <c r="X21" i="3"/>
  <c r="X22" i="3"/>
  <c r="X23" i="3"/>
  <c r="X24" i="3"/>
  <c r="X25" i="3"/>
  <c r="X26" i="3"/>
  <c r="W55" i="3"/>
  <c r="U8" i="14"/>
  <c r="AA3" i="1"/>
  <c r="T6" i="14"/>
  <c r="X4" i="8"/>
  <c r="X49" i="3" s="1"/>
  <c r="AB7" i="1"/>
  <c r="Y6" i="8"/>
  <c r="X23" i="8"/>
  <c r="U25" i="14" s="1"/>
  <c r="AA41" i="1"/>
  <c r="T25" i="14"/>
  <c r="AA5" i="1"/>
  <c r="T7" i="14"/>
  <c r="W50" i="3"/>
  <c r="X5" i="8"/>
  <c r="W52" i="3"/>
  <c r="X7" i="8"/>
  <c r="T9" i="14"/>
  <c r="AA9" i="1"/>
  <c r="AC11" i="1"/>
  <c r="V10" i="14"/>
  <c r="Z8" i="8"/>
  <c r="Z53" i="3" s="1"/>
  <c r="V3" i="8"/>
  <c r="W4" i="3"/>
  <c r="W3" i="3" s="1"/>
  <c r="AZ30" i="3"/>
  <c r="BA28" i="3"/>
  <c r="N2" i="12"/>
  <c r="O3" i="12"/>
  <c r="O2" i="12" s="1"/>
  <c r="X35" i="3"/>
  <c r="K8" i="10"/>
  <c r="DC37" i="3" s="1"/>
  <c r="K9" i="10"/>
  <c r="DC38" i="3" s="1"/>
  <c r="Z3" i="12"/>
  <c r="Z2" i="12" s="1"/>
  <c r="AL3" i="12"/>
  <c r="AL2" i="12" s="1"/>
  <c r="M6" i="12"/>
  <c r="M16" i="12"/>
  <c r="M26" i="12"/>
  <c r="M11" i="12"/>
  <c r="M21" i="12"/>
  <c r="V19" i="14"/>
  <c r="AC29" i="1"/>
  <c r="Z17" i="8"/>
  <c r="V24" i="14"/>
  <c r="AC39" i="1"/>
  <c r="Z22" i="8"/>
  <c r="V20" i="14"/>
  <c r="AC31" i="1"/>
  <c r="Z18" i="8"/>
  <c r="X23" i="14"/>
  <c r="AE37" i="1"/>
  <c r="V17" i="14"/>
  <c r="AC25" i="1"/>
  <c r="Z15" i="8"/>
  <c r="V22" i="14"/>
  <c r="AC35" i="1"/>
  <c r="Z20" i="8"/>
  <c r="X18" i="14"/>
  <c r="AE27" i="1"/>
  <c r="X19" i="8"/>
  <c r="T21" i="14"/>
  <c r="AA33" i="1"/>
  <c r="AB21" i="8"/>
  <c r="V16" i="14"/>
  <c r="AC23" i="1"/>
  <c r="Z14" i="8"/>
  <c r="V14" i="14"/>
  <c r="AC19" i="1"/>
  <c r="Z12" i="8"/>
  <c r="V15" i="14"/>
  <c r="AC21" i="1"/>
  <c r="Z13" i="8"/>
  <c r="Q20" i="12"/>
  <c r="Q25" i="12"/>
  <c r="Q15" i="12"/>
  <c r="P8" i="12"/>
  <c r="P6" i="12"/>
  <c r="P23" i="12"/>
  <c r="P21" i="12"/>
  <c r="Q10" i="12"/>
  <c r="P26" i="12"/>
  <c r="P28" i="12"/>
  <c r="Q8" i="12"/>
  <c r="Q6" i="12"/>
  <c r="X43" i="3"/>
  <c r="X36" i="3"/>
  <c r="X18" i="3"/>
  <c r="X12" i="3"/>
  <c r="X17" i="3"/>
  <c r="X16" i="3"/>
  <c r="X46" i="3"/>
  <c r="X15" i="3"/>
  <c r="X47" i="3"/>
  <c r="X37" i="3"/>
  <c r="X45" i="3"/>
  <c r="R15" i="12" s="1"/>
  <c r="X38" i="3"/>
  <c r="X34" i="3"/>
  <c r="X44" i="3"/>
  <c r="R10" i="12" s="1"/>
  <c r="AB16" i="8"/>
  <c r="AC26" i="8"/>
  <c r="X5" i="3"/>
  <c r="X6" i="3"/>
  <c r="X10" i="3"/>
  <c r="X11" i="3"/>
  <c r="X14" i="3"/>
  <c r="X7" i="3"/>
  <c r="X8" i="3"/>
  <c r="X13" i="3"/>
  <c r="X9" i="3"/>
  <c r="Y30" i="3"/>
  <c r="A70" i="24" l="1"/>
  <c r="A668" i="13"/>
  <c r="X12" i="14"/>
  <c r="AB10" i="8"/>
  <c r="Y12" i="14" s="1"/>
  <c r="U13" i="14"/>
  <c r="Y11" i="8"/>
  <c r="V13" i="14" s="1"/>
  <c r="U11" i="14"/>
  <c r="AB13" i="1"/>
  <c r="Y9" i="8"/>
  <c r="Y54" i="3" s="1"/>
  <c r="Y51" i="3"/>
  <c r="Y26" i="3"/>
  <c r="Y19" i="3"/>
  <c r="Y20" i="3"/>
  <c r="Y21" i="3"/>
  <c r="Y22" i="3"/>
  <c r="Y23" i="3"/>
  <c r="Y24" i="3"/>
  <c r="Y25" i="3"/>
  <c r="U6" i="14"/>
  <c r="AB3" i="1"/>
  <c r="Y4" i="8"/>
  <c r="Y49" i="3" s="1"/>
  <c r="AC7" i="1"/>
  <c r="Z6" i="8"/>
  <c r="Z51" i="3" s="1"/>
  <c r="V8" i="14"/>
  <c r="AB41" i="1"/>
  <c r="X55" i="3"/>
  <c r="Y23" i="8"/>
  <c r="X50" i="3"/>
  <c r="AB5" i="1"/>
  <c r="Y5" i="8"/>
  <c r="U7" i="14"/>
  <c r="X52" i="3"/>
  <c r="U9" i="14"/>
  <c r="AB9" i="1"/>
  <c r="Y7" i="8"/>
  <c r="AA8" i="8"/>
  <c r="AA53" i="3" s="1"/>
  <c r="W10" i="14"/>
  <c r="AD11" i="1"/>
  <c r="W3" i="8"/>
  <c r="X4" i="3"/>
  <c r="X3" i="3" s="1"/>
  <c r="BA30" i="3"/>
  <c r="BB28" i="3"/>
  <c r="K6" i="10"/>
  <c r="DC35" i="3" s="1"/>
  <c r="K5" i="10"/>
  <c r="DC34" i="3" s="1"/>
  <c r="K7" i="10"/>
  <c r="DC36" i="3" s="1"/>
  <c r="AM3" i="12"/>
  <c r="AM2" i="12" s="1"/>
  <c r="AA3" i="12"/>
  <c r="AA2" i="12" s="1"/>
  <c r="N26" i="12"/>
  <c r="N21" i="12"/>
  <c r="N11" i="12"/>
  <c r="N6" i="12"/>
  <c r="N16" i="12"/>
  <c r="O6" i="12"/>
  <c r="O16" i="12"/>
  <c r="O21" i="12"/>
  <c r="O26" i="12"/>
  <c r="O11" i="12"/>
  <c r="W17" i="14"/>
  <c r="AD25" i="1"/>
  <c r="AA15" i="8"/>
  <c r="AB15" i="8" s="1"/>
  <c r="Y18" i="14"/>
  <c r="AF27" i="1"/>
  <c r="Y19" i="8"/>
  <c r="U21" i="14"/>
  <c r="AB33" i="1"/>
  <c r="W19" i="14"/>
  <c r="AD29" i="1"/>
  <c r="AA17" i="8"/>
  <c r="W15" i="14"/>
  <c r="AD21" i="1"/>
  <c r="AA13" i="8"/>
  <c r="W16" i="14"/>
  <c r="AD23" i="1"/>
  <c r="AA14" i="8"/>
  <c r="W24" i="14"/>
  <c r="AD39" i="1"/>
  <c r="AA22" i="8"/>
  <c r="W22" i="14"/>
  <c r="AD35" i="1"/>
  <c r="AA20" i="8"/>
  <c r="W20" i="14"/>
  <c r="AD31" i="1"/>
  <c r="AA18" i="8"/>
  <c r="W14" i="14"/>
  <c r="AD19" i="1"/>
  <c r="AA12" i="8"/>
  <c r="Y23" i="14"/>
  <c r="AF37" i="1"/>
  <c r="R25" i="12"/>
  <c r="Q18" i="12"/>
  <c r="Q16" i="12"/>
  <c r="R13" i="12"/>
  <c r="R11" i="12"/>
  <c r="Q28" i="12"/>
  <c r="Q26" i="12"/>
  <c r="R20" i="12"/>
  <c r="Q11" i="12"/>
  <c r="Q13" i="12"/>
  <c r="Q23" i="12"/>
  <c r="Q21" i="12"/>
  <c r="R18" i="12"/>
  <c r="R16" i="12"/>
  <c r="R5" i="12"/>
  <c r="Y44" i="3"/>
  <c r="Y45" i="3"/>
  <c r="Y34" i="3"/>
  <c r="Y37" i="3"/>
  <c r="Y12" i="3"/>
  <c r="Y17" i="3"/>
  <c r="Y15" i="3"/>
  <c r="Y47" i="3"/>
  <c r="Y46" i="3"/>
  <c r="Y43" i="3"/>
  <c r="Y18" i="3"/>
  <c r="Y36" i="3"/>
  <c r="Y16" i="3"/>
  <c r="Y38" i="3"/>
  <c r="Y35" i="3"/>
  <c r="AC21" i="8"/>
  <c r="AC16" i="8"/>
  <c r="AD26" i="8"/>
  <c r="Y7" i="3"/>
  <c r="Y13" i="3"/>
  <c r="Y5" i="3"/>
  <c r="Y9" i="3"/>
  <c r="Y14" i="3"/>
  <c r="Y6" i="3"/>
  <c r="Y10" i="3"/>
  <c r="Y8" i="3"/>
  <c r="Y11" i="3"/>
  <c r="Z30" i="3"/>
  <c r="A71" i="24" l="1"/>
  <c r="A669" i="13"/>
  <c r="AC17" i="1"/>
  <c r="AC10" i="8"/>
  <c r="AG15" i="1" s="1"/>
  <c r="AF15" i="1"/>
  <c r="Z11" i="8"/>
  <c r="AA11" i="8" s="1"/>
  <c r="AB11" i="8" s="1"/>
  <c r="AC13" i="1"/>
  <c r="Z9" i="8"/>
  <c r="Z54" i="3" s="1"/>
  <c r="V11" i="14"/>
  <c r="DC39" i="3"/>
  <c r="Z19" i="3"/>
  <c r="Z20" i="3"/>
  <c r="Z21" i="3"/>
  <c r="Z22" i="3"/>
  <c r="Z23" i="3"/>
  <c r="Z24" i="3"/>
  <c r="Z25" i="3"/>
  <c r="Z26" i="3"/>
  <c r="Y55" i="3"/>
  <c r="W8" i="14"/>
  <c r="V6" i="14"/>
  <c r="Z4" i="8"/>
  <c r="Z49" i="3" s="1"/>
  <c r="AC3" i="1"/>
  <c r="AD7" i="1"/>
  <c r="AA6" i="8"/>
  <c r="AA51" i="3" s="1"/>
  <c r="AC41" i="1"/>
  <c r="V25" i="14"/>
  <c r="Z23" i="8"/>
  <c r="AA23" i="8" s="1"/>
  <c r="Z5" i="8"/>
  <c r="Y50" i="3"/>
  <c r="V7" i="14"/>
  <c r="AC5" i="1"/>
  <c r="Y52" i="3"/>
  <c r="AC9" i="1"/>
  <c r="Z7" i="8"/>
  <c r="V9" i="14"/>
  <c r="AB8" i="8"/>
  <c r="AB53" i="3" s="1"/>
  <c r="AE11" i="1"/>
  <c r="X10" i="14"/>
  <c r="Y4" i="3"/>
  <c r="Y3" i="3" s="1"/>
  <c r="X3" i="8"/>
  <c r="BB30" i="3"/>
  <c r="BC28" i="3"/>
  <c r="K10" i="10"/>
  <c r="Z19" i="8"/>
  <c r="V21" i="14"/>
  <c r="AC33" i="1"/>
  <c r="Z18" i="14"/>
  <c r="AG27" i="1"/>
  <c r="X16" i="14"/>
  <c r="AE23" i="1"/>
  <c r="AB14" i="8"/>
  <c r="Y17" i="14"/>
  <c r="AF25" i="1"/>
  <c r="AB22" i="8"/>
  <c r="X24" i="14"/>
  <c r="AE39" i="1"/>
  <c r="X19" i="14"/>
  <c r="AE29" i="1"/>
  <c r="AB17" i="8"/>
  <c r="X14" i="14"/>
  <c r="AE19" i="1"/>
  <c r="X15" i="14"/>
  <c r="AE21" i="1"/>
  <c r="AB13" i="8"/>
  <c r="X17" i="14"/>
  <c r="AE25" i="1"/>
  <c r="AB12" i="8"/>
  <c r="X22" i="14"/>
  <c r="AE35" i="1"/>
  <c r="AB20" i="8"/>
  <c r="AB18" i="8"/>
  <c r="X20" i="14"/>
  <c r="AE31" i="1"/>
  <c r="Z23" i="14"/>
  <c r="AG37" i="1"/>
  <c r="AC15" i="8"/>
  <c r="AD15" i="8" s="1"/>
  <c r="R23" i="12"/>
  <c r="R21" i="12"/>
  <c r="S5" i="12"/>
  <c r="R8" i="12"/>
  <c r="R6" i="12"/>
  <c r="S20" i="12"/>
  <c r="S10" i="12"/>
  <c r="R28" i="12"/>
  <c r="R26" i="12"/>
  <c r="S25" i="12"/>
  <c r="S15" i="12"/>
  <c r="AD16" i="8"/>
  <c r="Z35" i="3"/>
  <c r="Z17" i="3"/>
  <c r="Z18" i="3"/>
  <c r="Z43" i="3"/>
  <c r="Z7" i="3"/>
  <c r="Z16" i="3"/>
  <c r="Z46" i="3"/>
  <c r="Z37" i="3"/>
  <c r="Z47" i="3"/>
  <c r="Z34" i="3"/>
  <c r="Z6" i="3"/>
  <c r="Z36" i="3"/>
  <c r="Z15" i="3"/>
  <c r="Z38" i="3"/>
  <c r="Z44" i="3"/>
  <c r="T10" i="12" s="1"/>
  <c r="Z45" i="3"/>
  <c r="Z13" i="3"/>
  <c r="AD21" i="8"/>
  <c r="AE26" i="8"/>
  <c r="Z14" i="3"/>
  <c r="Z10" i="3"/>
  <c r="Z9" i="3"/>
  <c r="Z12" i="3"/>
  <c r="Z11" i="3"/>
  <c r="Z8" i="3"/>
  <c r="Z5" i="3"/>
  <c r="AA30" i="3"/>
  <c r="A72" i="24" l="1"/>
  <c r="A670" i="13"/>
  <c r="Z12" i="14"/>
  <c r="AD10" i="8"/>
  <c r="AE10" i="8" s="1"/>
  <c r="AD17" i="1"/>
  <c r="W13" i="14"/>
  <c r="AD13" i="1"/>
  <c r="AA9" i="8"/>
  <c r="AE13" i="1" s="1"/>
  <c r="W11" i="14"/>
  <c r="AA19" i="3"/>
  <c r="AA20" i="3"/>
  <c r="AA21" i="3"/>
  <c r="AA22" i="3"/>
  <c r="AA23" i="3"/>
  <c r="AA24" i="3"/>
  <c r="AA25" i="3"/>
  <c r="AA26" i="3"/>
  <c r="AA4" i="8"/>
  <c r="AA49" i="3" s="1"/>
  <c r="W6" i="14"/>
  <c r="AD3" i="1"/>
  <c r="AB6" i="8"/>
  <c r="AB51" i="3" s="1"/>
  <c r="AE7" i="1"/>
  <c r="X8" i="14"/>
  <c r="Z55" i="3"/>
  <c r="W25" i="14"/>
  <c r="AD41" i="1"/>
  <c r="AB23" i="8"/>
  <c r="AF41" i="1" s="1"/>
  <c r="AE41" i="1"/>
  <c r="X25" i="14"/>
  <c r="AD5" i="1"/>
  <c r="W7" i="14"/>
  <c r="AA5" i="8"/>
  <c r="Z50" i="3"/>
  <c r="Z52" i="3"/>
  <c r="W9" i="14"/>
  <c r="AD9" i="1"/>
  <c r="AA7" i="8"/>
  <c r="AC8" i="8"/>
  <c r="AC53" i="3" s="1"/>
  <c r="AF11" i="1"/>
  <c r="Y10" i="14"/>
  <c r="Z4" i="3"/>
  <c r="Z3" i="3" s="1"/>
  <c r="Y3" i="8"/>
  <c r="BC30" i="3"/>
  <c r="BD28" i="3"/>
  <c r="Y20" i="14"/>
  <c r="AF31" i="1"/>
  <c r="Z17" i="14"/>
  <c r="AG25" i="1"/>
  <c r="Y13" i="14"/>
  <c r="AF17" i="1"/>
  <c r="Y22" i="14"/>
  <c r="AF35" i="1"/>
  <c r="AA18" i="14"/>
  <c r="AH27" i="1"/>
  <c r="AE21" i="8"/>
  <c r="AA23" i="14"/>
  <c r="AH37" i="1"/>
  <c r="Y19" i="14"/>
  <c r="AF29" i="1"/>
  <c r="AC17" i="8"/>
  <c r="Y16" i="14"/>
  <c r="AF23" i="1"/>
  <c r="AC14" i="8"/>
  <c r="Y15" i="14"/>
  <c r="AF21" i="1"/>
  <c r="AC13" i="8"/>
  <c r="Y14" i="14"/>
  <c r="AF19" i="1"/>
  <c r="AC12" i="8"/>
  <c r="AA17" i="14"/>
  <c r="AH25" i="1"/>
  <c r="X13" i="14"/>
  <c r="AE17" i="1"/>
  <c r="AC11" i="8"/>
  <c r="W21" i="14"/>
  <c r="AD33" i="1"/>
  <c r="AC20" i="8"/>
  <c r="Y24" i="14"/>
  <c r="AF39" i="1"/>
  <c r="AC22" i="8"/>
  <c r="AA19" i="8"/>
  <c r="AC18" i="8"/>
  <c r="S28" i="12"/>
  <c r="S26" i="12"/>
  <c r="S13" i="12"/>
  <c r="S11" i="12"/>
  <c r="T15" i="12"/>
  <c r="S18" i="12"/>
  <c r="S16" i="12"/>
  <c r="T13" i="12"/>
  <c r="T11" i="12"/>
  <c r="S8" i="12"/>
  <c r="S6" i="12"/>
  <c r="T25" i="12"/>
  <c r="T5" i="12"/>
  <c r="S23" i="12"/>
  <c r="S21" i="12"/>
  <c r="T20" i="12"/>
  <c r="AA44" i="3"/>
  <c r="AA34" i="3"/>
  <c r="AA7" i="3"/>
  <c r="AA16" i="3"/>
  <c r="AA15" i="3"/>
  <c r="AA47" i="3"/>
  <c r="AA37" i="3"/>
  <c r="AA43" i="3"/>
  <c r="AA38" i="3"/>
  <c r="AA46" i="3"/>
  <c r="AA18" i="3"/>
  <c r="AA5" i="3"/>
  <c r="AA11" i="3"/>
  <c r="AA17" i="3"/>
  <c r="AA36" i="3"/>
  <c r="AA35" i="3"/>
  <c r="AA45" i="3"/>
  <c r="AA9" i="3"/>
  <c r="AA10" i="3"/>
  <c r="AE15" i="8"/>
  <c r="AE16" i="8"/>
  <c r="AF26" i="8"/>
  <c r="BM26" i="8" s="1"/>
  <c r="AA14" i="3"/>
  <c r="AA13" i="3"/>
  <c r="AA8" i="3"/>
  <c r="AA6" i="3"/>
  <c r="AA12" i="3"/>
  <c r="AB30" i="3"/>
  <c r="A73" i="24" l="1"/>
  <c r="A671" i="13"/>
  <c r="AA12" i="14"/>
  <c r="AH15" i="1"/>
  <c r="X11" i="14"/>
  <c r="AA54" i="3"/>
  <c r="AB9" i="8"/>
  <c r="AB54" i="3" s="1"/>
  <c r="AB19" i="3"/>
  <c r="AB20" i="3"/>
  <c r="AB21" i="3"/>
  <c r="AB22" i="3"/>
  <c r="AB23" i="3"/>
  <c r="AB24" i="3"/>
  <c r="AB25" i="3"/>
  <c r="AB26" i="3"/>
  <c r="AA55" i="3"/>
  <c r="AB4" i="8"/>
  <c r="AB49" i="3" s="1"/>
  <c r="X6" i="14"/>
  <c r="AE3" i="1"/>
  <c r="AF7" i="1"/>
  <c r="AC6" i="8"/>
  <c r="AC51" i="3" s="1"/>
  <c r="Y8" i="14"/>
  <c r="Y25" i="14"/>
  <c r="AC23" i="8"/>
  <c r="AG41" i="1" s="1"/>
  <c r="AB5" i="8"/>
  <c r="AC5" i="8" s="1"/>
  <c r="X7" i="14"/>
  <c r="AE5" i="1"/>
  <c r="AA50" i="3"/>
  <c r="AA52" i="3"/>
  <c r="X9" i="14"/>
  <c r="AE9" i="1"/>
  <c r="AB7" i="8"/>
  <c r="Z10" i="14"/>
  <c r="AG11" i="1"/>
  <c r="AD8" i="8"/>
  <c r="AD53" i="3" s="1"/>
  <c r="Z3" i="8"/>
  <c r="AA4" i="3"/>
  <c r="AA3" i="3" s="1"/>
  <c r="BD30" i="3"/>
  <c r="BE28" i="3"/>
  <c r="BE30" i="3" s="1"/>
  <c r="Z13" i="14"/>
  <c r="AG17" i="1"/>
  <c r="AD11" i="8"/>
  <c r="Z16" i="14"/>
  <c r="AG23" i="1"/>
  <c r="AD14" i="8"/>
  <c r="Z20" i="14"/>
  <c r="AG31" i="1"/>
  <c r="Z24" i="14"/>
  <c r="AG39" i="1"/>
  <c r="Z19" i="14"/>
  <c r="AG29" i="1"/>
  <c r="AD17" i="8"/>
  <c r="AB23" i="14"/>
  <c r="AI37" i="1"/>
  <c r="AD18" i="8"/>
  <c r="Z15" i="14"/>
  <c r="AG21" i="1"/>
  <c r="AB18" i="14"/>
  <c r="AI27" i="1"/>
  <c r="AD13" i="8"/>
  <c r="AD22" i="8"/>
  <c r="AB17" i="14"/>
  <c r="AI25" i="1"/>
  <c r="X21" i="14"/>
  <c r="AE33" i="1"/>
  <c r="AB19" i="8"/>
  <c r="Z22" i="14"/>
  <c r="AG35" i="1"/>
  <c r="AD20" i="8"/>
  <c r="Z14" i="14"/>
  <c r="AG19" i="1"/>
  <c r="AD12" i="8"/>
  <c r="AB12" i="14"/>
  <c r="AI15" i="1"/>
  <c r="U15" i="12"/>
  <c r="U25" i="12"/>
  <c r="U20" i="12"/>
  <c r="T28" i="12"/>
  <c r="T26" i="12"/>
  <c r="T23" i="12"/>
  <c r="T21" i="12"/>
  <c r="T8" i="12"/>
  <c r="T6" i="12"/>
  <c r="U5" i="12"/>
  <c r="U10" i="12"/>
  <c r="T18" i="12"/>
  <c r="T16" i="12"/>
  <c r="AB34" i="3"/>
  <c r="AB35" i="3"/>
  <c r="AB18" i="3"/>
  <c r="AB47" i="3"/>
  <c r="AB15" i="3"/>
  <c r="AB38" i="3"/>
  <c r="AB16" i="3"/>
  <c r="AB17" i="3"/>
  <c r="AB46" i="3"/>
  <c r="V20" i="12" s="1"/>
  <c r="AB43" i="3"/>
  <c r="AB7" i="3"/>
  <c r="AB36" i="3"/>
  <c r="AB37" i="3"/>
  <c r="AB45" i="3"/>
  <c r="V15" i="12" s="1"/>
  <c r="AB44" i="3"/>
  <c r="V10" i="12" s="1"/>
  <c r="AF21" i="8"/>
  <c r="AF16" i="8"/>
  <c r="AF15" i="8"/>
  <c r="AF10" i="8"/>
  <c r="AB12" i="3"/>
  <c r="AB8" i="3"/>
  <c r="AB11" i="3"/>
  <c r="AB13" i="3"/>
  <c r="AB14" i="3"/>
  <c r="AB9" i="3"/>
  <c r="AB5" i="3"/>
  <c r="AB6" i="3"/>
  <c r="AB10" i="3"/>
  <c r="AC30" i="3"/>
  <c r="A74" i="24" l="1"/>
  <c r="A672" i="13"/>
  <c r="AF13" i="1"/>
  <c r="AC9" i="8"/>
  <c r="AD9" i="8" s="1"/>
  <c r="AA11" i="14" s="1"/>
  <c r="Y11" i="14"/>
  <c r="AC25" i="3"/>
  <c r="AC26" i="3"/>
  <c r="AC21" i="3"/>
  <c r="AC22" i="3"/>
  <c r="AC24" i="3"/>
  <c r="AC19" i="3"/>
  <c r="AC20" i="3"/>
  <c r="AC23" i="3"/>
  <c r="AB55" i="3"/>
  <c r="AC4" i="8"/>
  <c r="AC49" i="3" s="1"/>
  <c r="AF3" i="1"/>
  <c r="Y6" i="14"/>
  <c r="AD6" i="8"/>
  <c r="AD51" i="3" s="1"/>
  <c r="AG7" i="1"/>
  <c r="AD23" i="8"/>
  <c r="AE23" i="8" s="1"/>
  <c r="AF23" i="8" s="1"/>
  <c r="AC25" i="14" s="1"/>
  <c r="Z8" i="14"/>
  <c r="Z25" i="14"/>
  <c r="AC50" i="3"/>
  <c r="AG5" i="1"/>
  <c r="Z7" i="14"/>
  <c r="AB50" i="3"/>
  <c r="Y7" i="14"/>
  <c r="AF5" i="1"/>
  <c r="AD5" i="8"/>
  <c r="AB52" i="3"/>
  <c r="AC7" i="8"/>
  <c r="AF9" i="1"/>
  <c r="Y9" i="14"/>
  <c r="AE8" i="8"/>
  <c r="AE53" i="3" s="1"/>
  <c r="AA10" i="14"/>
  <c r="AH11" i="1"/>
  <c r="AB4" i="3"/>
  <c r="AB3" i="3" s="1"/>
  <c r="AA3" i="8"/>
  <c r="AC35" i="3"/>
  <c r="AC18" i="14"/>
  <c r="AJ27" i="1"/>
  <c r="AA22" i="14"/>
  <c r="AH35" i="1"/>
  <c r="AE20" i="8"/>
  <c r="AF20" i="8" s="1"/>
  <c r="AG20" i="8" s="1"/>
  <c r="BM20" i="8" s="1"/>
  <c r="AA15" i="14"/>
  <c r="AH21" i="1"/>
  <c r="AA16" i="14"/>
  <c r="AH23" i="1"/>
  <c r="AC12" i="14"/>
  <c r="AJ15" i="1"/>
  <c r="AE14" i="8"/>
  <c r="AE13" i="8"/>
  <c r="Y21" i="14"/>
  <c r="AF33" i="1"/>
  <c r="AC17" i="14"/>
  <c r="AJ25" i="1"/>
  <c r="AA14" i="14"/>
  <c r="AH19" i="1"/>
  <c r="AA19" i="14"/>
  <c r="AH29" i="1"/>
  <c r="AE17" i="8"/>
  <c r="AA24" i="14"/>
  <c r="AH39" i="1"/>
  <c r="AE22" i="8"/>
  <c r="AF22" i="8" s="1"/>
  <c r="AG22" i="8" s="1"/>
  <c r="BM22" i="8" s="1"/>
  <c r="AA20" i="14"/>
  <c r="AH31" i="1"/>
  <c r="AE18" i="8"/>
  <c r="AA13" i="14"/>
  <c r="AH17" i="1"/>
  <c r="AE11" i="8"/>
  <c r="AE12" i="8"/>
  <c r="AC23" i="14"/>
  <c r="AJ37" i="1"/>
  <c r="AC19" i="8"/>
  <c r="AD19" i="8" s="1"/>
  <c r="U28" i="12"/>
  <c r="U26" i="12"/>
  <c r="V18" i="12"/>
  <c r="V16" i="12"/>
  <c r="V5" i="12"/>
  <c r="U23" i="12"/>
  <c r="U21" i="12"/>
  <c r="V25" i="12"/>
  <c r="U13" i="12"/>
  <c r="U11" i="12"/>
  <c r="V13" i="12"/>
  <c r="V11" i="12"/>
  <c r="V23" i="12"/>
  <c r="V21" i="12"/>
  <c r="U8" i="12"/>
  <c r="U6" i="12"/>
  <c r="U18" i="12"/>
  <c r="U16" i="12"/>
  <c r="AC44" i="3"/>
  <c r="AC45" i="3"/>
  <c r="AC46" i="3"/>
  <c r="AC38" i="3"/>
  <c r="AC37" i="3"/>
  <c r="AC36" i="3"/>
  <c r="AC15" i="3"/>
  <c r="AC16" i="3"/>
  <c r="AC47" i="3"/>
  <c r="AC17" i="3"/>
  <c r="AC13" i="3"/>
  <c r="AC43" i="3"/>
  <c r="AC18" i="3"/>
  <c r="AC34" i="3"/>
  <c r="AG15" i="8"/>
  <c r="BM15" i="8" s="1"/>
  <c r="AG16" i="8"/>
  <c r="BM16" i="8" s="1"/>
  <c r="AG21" i="8"/>
  <c r="BM21" i="8" s="1"/>
  <c r="AH26" i="8"/>
  <c r="AG10" i="8"/>
  <c r="BM10" i="8" s="1"/>
  <c r="AC10" i="3"/>
  <c r="AC9" i="3"/>
  <c r="AC6" i="3"/>
  <c r="AC12" i="3"/>
  <c r="AC7" i="3"/>
  <c r="AC14" i="3"/>
  <c r="AC8" i="3"/>
  <c r="AC5" i="3"/>
  <c r="AC11" i="3"/>
  <c r="AD30" i="3"/>
  <c r="A75" i="24" l="1"/>
  <c r="A673" i="13"/>
  <c r="AH13" i="1"/>
  <c r="AD54" i="3"/>
  <c r="AC54" i="3"/>
  <c r="AG13" i="1"/>
  <c r="Z11" i="14"/>
  <c r="AE9" i="8"/>
  <c r="AE54" i="3" s="1"/>
  <c r="AD19" i="3"/>
  <c r="AD20" i="3"/>
  <c r="AD21" i="3"/>
  <c r="AD22" i="3"/>
  <c r="AD23" i="3"/>
  <c r="AD24" i="3"/>
  <c r="AD25" i="3"/>
  <c r="AD26" i="3"/>
  <c r="AC55" i="3"/>
  <c r="AG3" i="1"/>
  <c r="AD4" i="8"/>
  <c r="AD49" i="3" s="1"/>
  <c r="Z6" i="14"/>
  <c r="AH7" i="1"/>
  <c r="AA8" i="14"/>
  <c r="AE6" i="8"/>
  <c r="AE51" i="3" s="1"/>
  <c r="AA25" i="14"/>
  <c r="AB25" i="14"/>
  <c r="AJ41" i="1"/>
  <c r="AG23" i="8"/>
  <c r="AI41" i="1"/>
  <c r="AH41" i="1"/>
  <c r="AD50" i="3"/>
  <c r="AA7" i="14"/>
  <c r="AH5" i="1"/>
  <c r="AE5" i="8"/>
  <c r="AF5" i="8" s="1"/>
  <c r="AJ5" i="1" s="1"/>
  <c r="AC52" i="3"/>
  <c r="Z9" i="14"/>
  <c r="AG9" i="1"/>
  <c r="AD7" i="8"/>
  <c r="AF8" i="8"/>
  <c r="AF53" i="3" s="1"/>
  <c r="AI11" i="1"/>
  <c r="AB10" i="14"/>
  <c r="AB3" i="8"/>
  <c r="AC4" i="3"/>
  <c r="AC3" i="3" s="1"/>
  <c r="AA21" i="14"/>
  <c r="AH33" i="1"/>
  <c r="AD22" i="14"/>
  <c r="AK35" i="1"/>
  <c r="AB13" i="14"/>
  <c r="AI17" i="1"/>
  <c r="AF11" i="8"/>
  <c r="AB24" i="14"/>
  <c r="AI39" i="1"/>
  <c r="AB15" i="14"/>
  <c r="AI21" i="1"/>
  <c r="AF13" i="8"/>
  <c r="AB22" i="14"/>
  <c r="AI35" i="1"/>
  <c r="AD18" i="14"/>
  <c r="AK27" i="1"/>
  <c r="AZ27" i="1" s="1"/>
  <c r="AC24" i="14"/>
  <c r="AJ39" i="1"/>
  <c r="AC22" i="14"/>
  <c r="AJ35" i="1"/>
  <c r="AB14" i="14"/>
  <c r="AI19" i="1"/>
  <c r="AF12" i="8"/>
  <c r="AD17" i="14"/>
  <c r="AK25" i="1"/>
  <c r="AZ25" i="1" s="1"/>
  <c r="AB20" i="14"/>
  <c r="AI31" i="1"/>
  <c r="AF18" i="8"/>
  <c r="AB19" i="14"/>
  <c r="AI29" i="1"/>
  <c r="AF17" i="8"/>
  <c r="AD12" i="14"/>
  <c r="AK15" i="1"/>
  <c r="AZ15" i="1" s="1"/>
  <c r="AB16" i="14"/>
  <c r="AI23" i="1"/>
  <c r="AF14" i="8"/>
  <c r="AG14" i="8" s="1"/>
  <c r="AH21" i="8"/>
  <c r="AD23" i="14"/>
  <c r="AK37" i="1"/>
  <c r="AZ37" i="1" s="1"/>
  <c r="AD24" i="14"/>
  <c r="AK39" i="1"/>
  <c r="Z21" i="14"/>
  <c r="AG33" i="1"/>
  <c r="AE19" i="8"/>
  <c r="AF19" i="8" s="1"/>
  <c r="W25" i="12"/>
  <c r="W20" i="12"/>
  <c r="W15" i="12"/>
  <c r="V8" i="12"/>
  <c r="V6" i="12"/>
  <c r="V28" i="12"/>
  <c r="V26" i="12"/>
  <c r="W5" i="12"/>
  <c r="W10" i="12"/>
  <c r="AD34" i="3"/>
  <c r="AD18" i="3"/>
  <c r="AD17" i="3"/>
  <c r="AD13" i="3"/>
  <c r="AD44" i="3"/>
  <c r="AD37" i="3"/>
  <c r="AD36" i="3"/>
  <c r="AD45" i="3"/>
  <c r="AD43" i="3"/>
  <c r="X5" i="12" s="1"/>
  <c r="AD38" i="3"/>
  <c r="AD47" i="3"/>
  <c r="AD16" i="3"/>
  <c r="AD15" i="3"/>
  <c r="AD5" i="3"/>
  <c r="AD46" i="3"/>
  <c r="AD35" i="3"/>
  <c r="AH16" i="8"/>
  <c r="AH20" i="8"/>
  <c r="AH15" i="8"/>
  <c r="AH22" i="8"/>
  <c r="AI26" i="8"/>
  <c r="AH10" i="8"/>
  <c r="AD8" i="3"/>
  <c r="AD11" i="3"/>
  <c r="AD10" i="3"/>
  <c r="AD14" i="3"/>
  <c r="AD12" i="3"/>
  <c r="AD9" i="3"/>
  <c r="AD6" i="3"/>
  <c r="AD7" i="3"/>
  <c r="AE30" i="3"/>
  <c r="A76" i="24" l="1"/>
  <c r="A674" i="13"/>
  <c r="AB11" i="14"/>
  <c r="AI13" i="1"/>
  <c r="AF9" i="8"/>
  <c r="AF54" i="3" s="1"/>
  <c r="AD25" i="14"/>
  <c r="BM23" i="8"/>
  <c r="AH14" i="8"/>
  <c r="AL23" i="1" s="1"/>
  <c r="BM14" i="8"/>
  <c r="AE25" i="3"/>
  <c r="AE19" i="3"/>
  <c r="AE20" i="3"/>
  <c r="AE21" i="3"/>
  <c r="AE22" i="3"/>
  <c r="AE23" i="3"/>
  <c r="AE24" i="3"/>
  <c r="AE26" i="3"/>
  <c r="AD55" i="3"/>
  <c r="AE4" i="8"/>
  <c r="AA6" i="14"/>
  <c r="AH3" i="1"/>
  <c r="AF6" i="8"/>
  <c r="AF51" i="3" s="1"/>
  <c r="AI7" i="1"/>
  <c r="AB8" i="14"/>
  <c r="AH23" i="8"/>
  <c r="AK41" i="1"/>
  <c r="AZ41" i="1" s="1"/>
  <c r="AF50" i="3"/>
  <c r="AC7" i="14"/>
  <c r="AE50" i="3"/>
  <c r="AI5" i="1"/>
  <c r="AB7" i="14"/>
  <c r="AG5" i="8"/>
  <c r="AD52" i="3"/>
  <c r="AA9" i="14"/>
  <c r="AH9" i="1"/>
  <c r="AE7" i="8"/>
  <c r="AJ11" i="1"/>
  <c r="AG8" i="8"/>
  <c r="AC10" i="14"/>
  <c r="AD4" i="3"/>
  <c r="AD3" i="3" s="1"/>
  <c r="AC3" i="8"/>
  <c r="AC21" i="14"/>
  <c r="AJ33" i="1"/>
  <c r="AE12" i="14"/>
  <c r="AL15" i="1"/>
  <c r="AC14" i="14"/>
  <c r="AJ19" i="1"/>
  <c r="AC20" i="14"/>
  <c r="AJ31" i="1"/>
  <c r="AG18" i="8"/>
  <c r="BM18" i="8" s="1"/>
  <c r="AC15" i="14"/>
  <c r="AJ21" i="1"/>
  <c r="AG13" i="8"/>
  <c r="BM13" i="8" s="1"/>
  <c r="AZ35" i="1"/>
  <c r="AE23" i="14"/>
  <c r="AL37" i="1"/>
  <c r="AE18" i="14"/>
  <c r="AL27" i="1"/>
  <c r="AB21" i="14"/>
  <c r="AI33" i="1"/>
  <c r="AC16" i="14"/>
  <c r="AJ23" i="1"/>
  <c r="AG12" i="8"/>
  <c r="BM12" i="8" s="1"/>
  <c r="AE24" i="14"/>
  <c r="AL39" i="1"/>
  <c r="AE17" i="14"/>
  <c r="AL25" i="1"/>
  <c r="AG19" i="8"/>
  <c r="AZ39" i="1"/>
  <c r="AD16" i="14"/>
  <c r="AK23" i="1"/>
  <c r="AE22" i="14"/>
  <c r="AL35" i="1"/>
  <c r="AC19" i="14"/>
  <c r="AJ29" i="1"/>
  <c r="AG17" i="8"/>
  <c r="BM17" i="8" s="1"/>
  <c r="AC13" i="14"/>
  <c r="AJ17" i="1"/>
  <c r="AG11" i="8"/>
  <c r="BM11" i="8" s="1"/>
  <c r="X10" i="12"/>
  <c r="W23" i="12"/>
  <c r="W21" i="12"/>
  <c r="X15" i="12"/>
  <c r="AE18" i="3"/>
  <c r="X25" i="12"/>
  <c r="W13" i="12"/>
  <c r="W11" i="12"/>
  <c r="X20" i="12"/>
  <c r="W16" i="12"/>
  <c r="W18" i="12"/>
  <c r="W26" i="12"/>
  <c r="W28" i="12"/>
  <c r="W8" i="12"/>
  <c r="W6" i="12"/>
  <c r="X8" i="12"/>
  <c r="X6" i="12"/>
  <c r="AE43" i="3"/>
  <c r="AE35" i="3"/>
  <c r="AE15" i="3"/>
  <c r="AE16" i="3"/>
  <c r="AE45" i="3"/>
  <c r="AE36" i="3"/>
  <c r="AE37" i="3"/>
  <c r="AE13" i="3"/>
  <c r="AE17" i="3"/>
  <c r="AE47" i="3"/>
  <c r="AE44" i="3"/>
  <c r="AE46" i="3"/>
  <c r="AE38" i="3"/>
  <c r="AE34" i="3"/>
  <c r="AI15" i="8"/>
  <c r="AI16" i="8"/>
  <c r="AI22" i="8"/>
  <c r="AI21" i="8"/>
  <c r="AI20" i="8"/>
  <c r="AI10" i="8"/>
  <c r="AJ26" i="8"/>
  <c r="AE6" i="3"/>
  <c r="AE10" i="3"/>
  <c r="AE11" i="3"/>
  <c r="AE14" i="3"/>
  <c r="AE9" i="3"/>
  <c r="AE12" i="3"/>
  <c r="AE5" i="3"/>
  <c r="AE7" i="3"/>
  <c r="AE8" i="3"/>
  <c r="AF30" i="3"/>
  <c r="A77" i="24" l="1"/>
  <c r="A675" i="13"/>
  <c r="J198" i="13"/>
  <c r="J194" i="13"/>
  <c r="J321" i="13"/>
  <c r="J401" i="13"/>
  <c r="J481" i="13"/>
  <c r="J561" i="13"/>
  <c r="J192" i="13"/>
  <c r="J199" i="13"/>
  <c r="J200" i="13"/>
  <c r="J261" i="13"/>
  <c r="J341" i="13"/>
  <c r="J421" i="13"/>
  <c r="J501" i="13"/>
  <c r="J581" i="13"/>
  <c r="J195" i="13"/>
  <c r="J281" i="13"/>
  <c r="J361" i="13"/>
  <c r="J441" i="13"/>
  <c r="J521" i="13"/>
  <c r="J601" i="13"/>
  <c r="J193" i="13"/>
  <c r="J201" i="13"/>
  <c r="J301" i="13"/>
  <c r="J381" i="13"/>
  <c r="J461" i="13"/>
  <c r="J541" i="13"/>
  <c r="J196" i="13"/>
  <c r="J197" i="13"/>
  <c r="AC11" i="14"/>
  <c r="AG9" i="8"/>
  <c r="AK13" i="1" s="1"/>
  <c r="AJ13" i="1"/>
  <c r="AI14" i="8"/>
  <c r="AF16" i="14" s="1"/>
  <c r="AE16" i="14"/>
  <c r="AH5" i="8"/>
  <c r="AL5" i="1" s="1"/>
  <c r="BM5" i="8"/>
  <c r="AH19" i="8"/>
  <c r="AI19" i="8" s="1"/>
  <c r="AJ19" i="8" s="1"/>
  <c r="BM19" i="8"/>
  <c r="AG53" i="3"/>
  <c r="BM8" i="8"/>
  <c r="AF19" i="3"/>
  <c r="AF20" i="3"/>
  <c r="AF21" i="3"/>
  <c r="AF22" i="3"/>
  <c r="AF23" i="3"/>
  <c r="AF24" i="3"/>
  <c r="AF25" i="3"/>
  <c r="AF26" i="3"/>
  <c r="AE49" i="3"/>
  <c r="AE55" i="3"/>
  <c r="AB6" i="14"/>
  <c r="AI23" i="8"/>
  <c r="AF25" i="14" s="1"/>
  <c r="AI3" i="1"/>
  <c r="AF4" i="8"/>
  <c r="AC6" i="14" s="1"/>
  <c r="AG6" i="8"/>
  <c r="AJ7" i="1"/>
  <c r="AC8" i="14"/>
  <c r="AL41" i="1"/>
  <c r="AE25" i="14"/>
  <c r="AG50" i="3"/>
  <c r="AD7" i="14"/>
  <c r="AK5" i="1"/>
  <c r="AZ5" i="1" s="1"/>
  <c r="AE52" i="3"/>
  <c r="AF7" i="8"/>
  <c r="AB9" i="14"/>
  <c r="AI9" i="1"/>
  <c r="AH8" i="8"/>
  <c r="AD10" i="14"/>
  <c r="AK11" i="1"/>
  <c r="AZ11" i="1" s="1"/>
  <c r="AE4" i="3"/>
  <c r="AE3" i="3" s="1"/>
  <c r="AD3" i="8"/>
  <c r="AZ23" i="1"/>
  <c r="AF18" i="3"/>
  <c r="AF17" i="14"/>
  <c r="AM25" i="1"/>
  <c r="AF23" i="14"/>
  <c r="AM37" i="1"/>
  <c r="AD20" i="14"/>
  <c r="AK31" i="1"/>
  <c r="AZ31" i="1" s="1"/>
  <c r="AH18" i="8"/>
  <c r="AF12" i="14"/>
  <c r="AM15" i="1"/>
  <c r="AF24" i="14"/>
  <c r="AM39" i="1"/>
  <c r="AD14" i="14"/>
  <c r="AK19" i="1"/>
  <c r="AZ19" i="1" s="1"/>
  <c r="AH12" i="8"/>
  <c r="AD13" i="14"/>
  <c r="AK17" i="1"/>
  <c r="AZ17" i="1" s="1"/>
  <c r="AH11" i="8"/>
  <c r="AF22" i="14"/>
  <c r="AM35" i="1"/>
  <c r="AJ15" i="8"/>
  <c r="AF18" i="14"/>
  <c r="AM27" i="1"/>
  <c r="AD21" i="14"/>
  <c r="AK33" i="1"/>
  <c r="AZ33" i="1" s="1"/>
  <c r="AD19" i="14"/>
  <c r="AK29" i="1"/>
  <c r="AZ29" i="1" s="1"/>
  <c r="AH17" i="8"/>
  <c r="AD15" i="14"/>
  <c r="AK21" i="1"/>
  <c r="AZ21" i="1" s="1"/>
  <c r="AH13" i="8"/>
  <c r="Y10" i="12"/>
  <c r="Y25" i="12"/>
  <c r="Y15" i="12"/>
  <c r="X26" i="12"/>
  <c r="X28" i="12"/>
  <c r="X13" i="12"/>
  <c r="X11" i="12"/>
  <c r="X23" i="12"/>
  <c r="X21" i="12"/>
  <c r="X18" i="12"/>
  <c r="X16" i="12"/>
  <c r="Y20" i="12"/>
  <c r="Y5" i="12"/>
  <c r="AF36" i="3"/>
  <c r="AF47" i="3"/>
  <c r="AF45" i="3"/>
  <c r="AF44" i="3"/>
  <c r="AF17" i="3"/>
  <c r="AF16" i="3"/>
  <c r="AF35" i="3"/>
  <c r="AF34" i="3"/>
  <c r="AF38" i="3"/>
  <c r="AF15" i="3"/>
  <c r="AF12" i="3"/>
  <c r="AF46" i="3"/>
  <c r="AF43" i="3"/>
  <c r="Z5" i="12" s="1"/>
  <c r="AF37" i="3"/>
  <c r="AF11" i="3"/>
  <c r="AJ20" i="8"/>
  <c r="AJ21" i="8"/>
  <c r="AJ16" i="8"/>
  <c r="AJ22" i="8"/>
  <c r="AK26" i="8"/>
  <c r="AJ10" i="8"/>
  <c r="AF13" i="3"/>
  <c r="AF7" i="3"/>
  <c r="AF6" i="3"/>
  <c r="AF5" i="3"/>
  <c r="AF14" i="3"/>
  <c r="AF10" i="3"/>
  <c r="AF9" i="3"/>
  <c r="AF8" i="3"/>
  <c r="AG30" i="3"/>
  <c r="A78" i="24" l="1"/>
  <c r="A676" i="13"/>
  <c r="J603" i="13"/>
  <c r="J605" i="13"/>
  <c r="AD11" i="14"/>
  <c r="AZ13" i="1"/>
  <c r="BM9" i="8"/>
  <c r="AG54" i="3"/>
  <c r="AH9" i="8"/>
  <c r="AI9" i="8" s="1"/>
  <c r="AI54" i="3" s="1"/>
  <c r="J443" i="13"/>
  <c r="J543" i="13"/>
  <c r="J243" i="13"/>
  <c r="J343" i="13"/>
  <c r="J563" i="13"/>
  <c r="J363" i="13"/>
  <c r="J463" i="13"/>
  <c r="J263" i="13"/>
  <c r="J483" i="13"/>
  <c r="J583" i="13"/>
  <c r="J283" i="13"/>
  <c r="J383" i="13"/>
  <c r="J403" i="13"/>
  <c r="J503" i="13"/>
  <c r="J423" i="13"/>
  <c r="J303" i="13"/>
  <c r="J523" i="13"/>
  <c r="J323" i="13"/>
  <c r="J227" i="13"/>
  <c r="J235" i="13"/>
  <c r="J228" i="13"/>
  <c r="J236" i="13"/>
  <c r="J229" i="13"/>
  <c r="J237" i="13"/>
  <c r="J230" i="13"/>
  <c r="J238" i="13"/>
  <c r="J223" i="13"/>
  <c r="J231" i="13"/>
  <c r="J239" i="13"/>
  <c r="J232" i="13"/>
  <c r="J240" i="13"/>
  <c r="J225" i="13"/>
  <c r="J233" i="13"/>
  <c r="J241" i="13"/>
  <c r="J234" i="13"/>
  <c r="J226" i="13"/>
  <c r="AJ14" i="8"/>
  <c r="AG16" i="14" s="1"/>
  <c r="AM23" i="1"/>
  <c r="J19" i="13"/>
  <c r="J12" i="13"/>
  <c r="J20" i="13"/>
  <c r="J13" i="13"/>
  <c r="J21" i="13"/>
  <c r="J14" i="13"/>
  <c r="J15" i="13"/>
  <c r="J16" i="13"/>
  <c r="J18" i="13"/>
  <c r="J17" i="13"/>
  <c r="AH50" i="3"/>
  <c r="AE7" i="14"/>
  <c r="AL33" i="1"/>
  <c r="AE21" i="14"/>
  <c r="AI5" i="8"/>
  <c r="AI50" i="3" s="1"/>
  <c r="AG51" i="3"/>
  <c r="BM6" i="8"/>
  <c r="J224" i="13" s="1"/>
  <c r="AH53" i="3"/>
  <c r="AG22" i="3"/>
  <c r="AG19" i="3"/>
  <c r="AG21" i="3"/>
  <c r="AG23" i="3"/>
  <c r="AG25" i="3"/>
  <c r="AG20" i="3"/>
  <c r="AG24" i="3"/>
  <c r="AG26" i="3"/>
  <c r="AF49" i="3"/>
  <c r="AF55" i="3"/>
  <c r="AJ3" i="1"/>
  <c r="AJ23" i="8"/>
  <c r="AG4" i="8"/>
  <c r="BM4" i="8" s="1"/>
  <c r="AH6" i="8"/>
  <c r="AM41" i="1"/>
  <c r="AK7" i="1"/>
  <c r="AZ7" i="1" s="1"/>
  <c r="AD8" i="14"/>
  <c r="AF52" i="3"/>
  <c r="AC9" i="14"/>
  <c r="AJ9" i="1"/>
  <c r="AG7" i="8"/>
  <c r="BM7" i="8" s="1"/>
  <c r="AE10" i="14"/>
  <c r="AL11" i="1"/>
  <c r="AI8" i="8"/>
  <c r="AI53" i="3" s="1"/>
  <c r="AF4" i="3"/>
  <c r="AF3" i="3" s="1"/>
  <c r="AE3" i="8"/>
  <c r="AG18" i="3"/>
  <c r="AE15" i="14"/>
  <c r="AL21" i="1"/>
  <c r="AI13" i="8"/>
  <c r="AI17" i="8"/>
  <c r="AE19" i="14"/>
  <c r="AL29" i="1"/>
  <c r="AE13" i="14"/>
  <c r="AL17" i="1"/>
  <c r="AI11" i="8"/>
  <c r="AG22" i="14"/>
  <c r="AN35" i="1"/>
  <c r="AG23" i="14"/>
  <c r="AN37" i="1"/>
  <c r="AK15" i="8"/>
  <c r="AG24" i="14"/>
  <c r="AN39" i="1"/>
  <c r="AG17" i="14"/>
  <c r="AN25" i="1"/>
  <c r="AF21" i="14"/>
  <c r="AM33" i="1"/>
  <c r="AG12" i="14"/>
  <c r="AN15" i="1"/>
  <c r="AG18" i="14"/>
  <c r="AN27" i="1"/>
  <c r="AE20" i="14"/>
  <c r="AL31" i="1"/>
  <c r="AI18" i="8"/>
  <c r="AG21" i="14"/>
  <c r="AN33" i="1"/>
  <c r="AE14" i="14"/>
  <c r="AL19" i="1"/>
  <c r="AI12" i="8"/>
  <c r="Z15" i="12"/>
  <c r="Y18" i="12"/>
  <c r="Y16" i="12"/>
  <c r="Z25" i="12"/>
  <c r="Y28" i="12"/>
  <c r="Y26" i="12"/>
  <c r="Z10" i="12"/>
  <c r="Y8" i="12"/>
  <c r="Y6" i="12"/>
  <c r="Y13" i="12"/>
  <c r="Y11" i="12"/>
  <c r="Z20" i="12"/>
  <c r="Y23" i="12"/>
  <c r="Y21" i="12"/>
  <c r="AG37" i="3"/>
  <c r="AG44" i="3"/>
  <c r="AG45" i="3"/>
  <c r="AG47" i="3"/>
  <c r="AG34" i="3"/>
  <c r="AG35" i="3"/>
  <c r="AG15" i="3"/>
  <c r="AG46" i="3"/>
  <c r="AG16" i="3"/>
  <c r="AG36" i="3"/>
  <c r="AG43" i="3"/>
  <c r="AG17" i="3"/>
  <c r="AG38" i="3"/>
  <c r="AG6" i="3"/>
  <c r="AK22" i="8"/>
  <c r="AG9" i="3"/>
  <c r="AK19" i="8"/>
  <c r="AK16" i="8"/>
  <c r="AK21" i="8"/>
  <c r="AK20" i="8"/>
  <c r="AK10" i="8"/>
  <c r="AL26" i="8"/>
  <c r="AG13" i="3"/>
  <c r="AG11" i="3"/>
  <c r="AG10" i="3"/>
  <c r="AG12" i="3"/>
  <c r="AG7" i="3"/>
  <c r="AG14" i="3"/>
  <c r="AG8" i="3"/>
  <c r="AG5" i="3"/>
  <c r="AH30" i="3"/>
  <c r="J244" i="13" l="1"/>
  <c r="J324" i="13"/>
  <c r="J404" i="13"/>
  <c r="J484" i="13"/>
  <c r="J564" i="13"/>
  <c r="J29" i="13"/>
  <c r="J28" i="13"/>
  <c r="J30" i="13"/>
  <c r="J24" i="13"/>
  <c r="J25" i="13"/>
  <c r="J31" i="13"/>
  <c r="J22" i="13"/>
  <c r="J23" i="13"/>
  <c r="J304" i="13"/>
  <c r="J264" i="13"/>
  <c r="J344" i="13"/>
  <c r="J424" i="13"/>
  <c r="J504" i="13"/>
  <c r="J584" i="13"/>
  <c r="J26" i="13"/>
  <c r="J27" i="13"/>
  <c r="J384" i="13"/>
  <c r="J284" i="13"/>
  <c r="J364" i="13"/>
  <c r="J444" i="13"/>
  <c r="J524" i="13"/>
  <c r="J464" i="13"/>
  <c r="J544" i="13"/>
  <c r="A79" i="24"/>
  <c r="A677" i="13"/>
  <c r="AL13" i="1"/>
  <c r="J602" i="13"/>
  <c r="J604" i="13"/>
  <c r="AH54" i="3"/>
  <c r="AE11" i="14"/>
  <c r="J342" i="13"/>
  <c r="J462" i="13"/>
  <c r="J262" i="13"/>
  <c r="J582" i="13"/>
  <c r="J382" i="13"/>
  <c r="J502" i="13"/>
  <c r="J302" i="13"/>
  <c r="J422" i="13"/>
  <c r="J542" i="13"/>
  <c r="J442" i="13"/>
  <c r="J562" i="13"/>
  <c r="J242" i="13"/>
  <c r="J362" i="13"/>
  <c r="J482" i="13"/>
  <c r="J282" i="13"/>
  <c r="J402" i="13"/>
  <c r="J522" i="13"/>
  <c r="J322" i="13"/>
  <c r="J222" i="13"/>
  <c r="AN23" i="1"/>
  <c r="AK14" i="8"/>
  <c r="AL14" i="8" s="1"/>
  <c r="J202" i="13"/>
  <c r="J203" i="13"/>
  <c r="J211" i="13"/>
  <c r="J219" i="13"/>
  <c r="J204" i="13"/>
  <c r="J212" i="13"/>
  <c r="J220" i="13"/>
  <c r="J205" i="13"/>
  <c r="J213" i="13"/>
  <c r="J221" i="13"/>
  <c r="J206" i="13"/>
  <c r="J214" i="13"/>
  <c r="J207" i="13"/>
  <c r="J215" i="13"/>
  <c r="J208" i="13"/>
  <c r="J216" i="13"/>
  <c r="J209" i="13"/>
  <c r="J217" i="13"/>
  <c r="J210" i="13"/>
  <c r="J218" i="13"/>
  <c r="J2" i="13"/>
  <c r="J3" i="13"/>
  <c r="J11" i="13"/>
  <c r="J4" i="13"/>
  <c r="J5" i="13"/>
  <c r="J6" i="13"/>
  <c r="J7" i="13"/>
  <c r="J8" i="13"/>
  <c r="J9" i="13"/>
  <c r="J10" i="13"/>
  <c r="AJ5" i="8"/>
  <c r="AJ50" i="3" s="1"/>
  <c r="AM5" i="1"/>
  <c r="AF7" i="14"/>
  <c r="AH51" i="3"/>
  <c r="AH19" i="3"/>
  <c r="AH20" i="3"/>
  <c r="AH21" i="3"/>
  <c r="AH22" i="3"/>
  <c r="AH23" i="3"/>
  <c r="AH24" i="3"/>
  <c r="AH26" i="3"/>
  <c r="AH25" i="3"/>
  <c r="AG49" i="3"/>
  <c r="AG55" i="3"/>
  <c r="AI6" i="8"/>
  <c r="AI51" i="3" s="1"/>
  <c r="AL7" i="1"/>
  <c r="AN41" i="1"/>
  <c r="AG25" i="14"/>
  <c r="AK23" i="8"/>
  <c r="AH4" i="8"/>
  <c r="AD6" i="14"/>
  <c r="AK3" i="1"/>
  <c r="AZ3" i="1" s="1"/>
  <c r="AE8" i="14"/>
  <c r="AJ9" i="8"/>
  <c r="AJ54" i="3" s="1"/>
  <c r="AF11" i="14"/>
  <c r="AM13" i="1"/>
  <c r="AG52" i="3"/>
  <c r="AD9" i="14"/>
  <c r="AK9" i="1"/>
  <c r="AZ9" i="1" s="1"/>
  <c r="AH7" i="8"/>
  <c r="AJ8" i="8"/>
  <c r="AJ53" i="3" s="1"/>
  <c r="AF10" i="14"/>
  <c r="AM11" i="1"/>
  <c r="AG4" i="3"/>
  <c r="AG3" i="3" s="1"/>
  <c r="AF3" i="8"/>
  <c r="L5" i="10"/>
  <c r="L8" i="10"/>
  <c r="Q8" i="10" s="1"/>
  <c r="L9" i="10"/>
  <c r="Q9" i="10" s="1"/>
  <c r="L6" i="10"/>
  <c r="Q6" i="10" s="1"/>
  <c r="L7" i="10"/>
  <c r="Q7" i="10" s="1"/>
  <c r="AF15" i="14"/>
  <c r="AM21" i="1"/>
  <c r="AJ13" i="8"/>
  <c r="AL15" i="8"/>
  <c r="AF19" i="14"/>
  <c r="AM29" i="1"/>
  <c r="AJ17" i="8"/>
  <c r="AH24" i="14"/>
  <c r="AO39" i="1"/>
  <c r="AF13" i="14"/>
  <c r="AM17" i="1"/>
  <c r="AJ11" i="8"/>
  <c r="AF20" i="14"/>
  <c r="AM31" i="1"/>
  <c r="AJ18" i="8"/>
  <c r="AH17" i="14"/>
  <c r="AO25" i="1"/>
  <c r="AH22" i="14"/>
  <c r="AO35" i="1"/>
  <c r="AH18" i="14"/>
  <c r="AO27" i="1"/>
  <c r="AH21" i="14"/>
  <c r="AO33" i="1"/>
  <c r="AH23" i="14"/>
  <c r="AO37" i="1"/>
  <c r="AH12" i="14"/>
  <c r="AO15" i="1"/>
  <c r="AF14" i="14"/>
  <c r="AM19" i="1"/>
  <c r="AJ12" i="8"/>
  <c r="Z18" i="12"/>
  <c r="Z16" i="12"/>
  <c r="Z13" i="12"/>
  <c r="Z11" i="12"/>
  <c r="AA25" i="12"/>
  <c r="AA15" i="12"/>
  <c r="AA10" i="12"/>
  <c r="Z28" i="12"/>
  <c r="Z26" i="12"/>
  <c r="AA20" i="12"/>
  <c r="Z23" i="12"/>
  <c r="Z21" i="12"/>
  <c r="AA5" i="12"/>
  <c r="Z8" i="12"/>
  <c r="Z6" i="12"/>
  <c r="AH36" i="3"/>
  <c r="AH34" i="3"/>
  <c r="AH46" i="3"/>
  <c r="AH37" i="3"/>
  <c r="AH16" i="3"/>
  <c r="AH47" i="3"/>
  <c r="AB25" i="12" s="1"/>
  <c r="AH38" i="3"/>
  <c r="AH15" i="3"/>
  <c r="AH9" i="3"/>
  <c r="AH45" i="3"/>
  <c r="AB15" i="12" s="1"/>
  <c r="AH14" i="3"/>
  <c r="AH17" i="3"/>
  <c r="AH35" i="3"/>
  <c r="AH44" i="3"/>
  <c r="AB10" i="12" s="1"/>
  <c r="AH12" i="3"/>
  <c r="AH43" i="3"/>
  <c r="AB5" i="12" s="1"/>
  <c r="AH18" i="3"/>
  <c r="AL16" i="8"/>
  <c r="AL22" i="8"/>
  <c r="AL20" i="8"/>
  <c r="AL19" i="8"/>
  <c r="AL21" i="8"/>
  <c r="AM26" i="8"/>
  <c r="AL10" i="8"/>
  <c r="AH7" i="3"/>
  <c r="AH11" i="3"/>
  <c r="AH6" i="3"/>
  <c r="AH8" i="3"/>
  <c r="AH13" i="3"/>
  <c r="AH10" i="3"/>
  <c r="AH5" i="3"/>
  <c r="AI30" i="3"/>
  <c r="AH16" i="14" l="1"/>
  <c r="A80" i="24"/>
  <c r="A678" i="13"/>
  <c r="AO23" i="1"/>
  <c r="AG7" i="14"/>
  <c r="AN5" i="1"/>
  <c r="AK5" i="8"/>
  <c r="AK50" i="3" s="1"/>
  <c r="AL3" i="1"/>
  <c r="N5" i="10"/>
  <c r="Q5" i="10"/>
  <c r="AI19" i="3"/>
  <c r="AI20" i="3"/>
  <c r="AI21" i="3"/>
  <c r="AI22" i="3"/>
  <c r="AI23" i="3"/>
  <c r="AI24" i="3"/>
  <c r="AI25" i="3"/>
  <c r="AI26" i="3"/>
  <c r="AF8" i="14"/>
  <c r="AJ6" i="8"/>
  <c r="AM7" i="1"/>
  <c r="AH49" i="3"/>
  <c r="AH55" i="3"/>
  <c r="AI4" i="8"/>
  <c r="AL23" i="8"/>
  <c r="AO41" i="1"/>
  <c r="AH25" i="14"/>
  <c r="AE6" i="14"/>
  <c r="AK9" i="8"/>
  <c r="AK54" i="3" s="1"/>
  <c r="AG11" i="14"/>
  <c r="AN13" i="1"/>
  <c r="AH52" i="3"/>
  <c r="AE9" i="14"/>
  <c r="AL9" i="1"/>
  <c r="AI7" i="8"/>
  <c r="AG10" i="14"/>
  <c r="AN11" i="1"/>
  <c r="AK8" i="8"/>
  <c r="AK53" i="3" s="1"/>
  <c r="AH4" i="3"/>
  <c r="AH3" i="3" s="1"/>
  <c r="AG3" i="8"/>
  <c r="O9" i="10"/>
  <c r="P6" i="10"/>
  <c r="O8" i="10"/>
  <c r="P5" i="10"/>
  <c r="AG14" i="14"/>
  <c r="AN19" i="1"/>
  <c r="AK12" i="8"/>
  <c r="AG19" i="14"/>
  <c r="AN29" i="1"/>
  <c r="AI23" i="14"/>
  <c r="AP37" i="1"/>
  <c r="AI21" i="14"/>
  <c r="AP33" i="1"/>
  <c r="AM15" i="8"/>
  <c r="AI22" i="14"/>
  <c r="AP35" i="1"/>
  <c r="AI24" i="14"/>
  <c r="AP39" i="1"/>
  <c r="AK17" i="8"/>
  <c r="AI12" i="14"/>
  <c r="AP15" i="1"/>
  <c r="AG20" i="14"/>
  <c r="AN31" i="1"/>
  <c r="AK18" i="8"/>
  <c r="AG13" i="14"/>
  <c r="AN17" i="1"/>
  <c r="AK11" i="8"/>
  <c r="AI17" i="14"/>
  <c r="AP25" i="1"/>
  <c r="AI16" i="14"/>
  <c r="AP23" i="1"/>
  <c r="AI18" i="14"/>
  <c r="AP27" i="1"/>
  <c r="AG15" i="14"/>
  <c r="AN21" i="1"/>
  <c r="AK13" i="8"/>
  <c r="AB8" i="12"/>
  <c r="AB6" i="12"/>
  <c r="AB28" i="12"/>
  <c r="AB26" i="12"/>
  <c r="AA23" i="12"/>
  <c r="AA21" i="12"/>
  <c r="AA13" i="12"/>
  <c r="AA11" i="12"/>
  <c r="AA28" i="12"/>
  <c r="AA26" i="12"/>
  <c r="AI8" i="3"/>
  <c r="AA8" i="12"/>
  <c r="AA6" i="12"/>
  <c r="AB18" i="12"/>
  <c r="AB16" i="12"/>
  <c r="AB13" i="12"/>
  <c r="AB11" i="12"/>
  <c r="AA18" i="12"/>
  <c r="AA16" i="12"/>
  <c r="AI6" i="3"/>
  <c r="AB20" i="12"/>
  <c r="AI45" i="3"/>
  <c r="AI44" i="3"/>
  <c r="AI47" i="3"/>
  <c r="AI43" i="3"/>
  <c r="AI37" i="3"/>
  <c r="AI16" i="3"/>
  <c r="AI12" i="3"/>
  <c r="AI9" i="3"/>
  <c r="AI46" i="3"/>
  <c r="AC20" i="12" s="1"/>
  <c r="AI34" i="3"/>
  <c r="AI35" i="3"/>
  <c r="AI18" i="3"/>
  <c r="AI17" i="3"/>
  <c r="AI15" i="3"/>
  <c r="AI36" i="3"/>
  <c r="AI38" i="3"/>
  <c r="AM21" i="8"/>
  <c r="AM22" i="8"/>
  <c r="AM16" i="8"/>
  <c r="AM19" i="8"/>
  <c r="AM20" i="8"/>
  <c r="AN26" i="8"/>
  <c r="AM10" i="8"/>
  <c r="AM14" i="8"/>
  <c r="AI10" i="3"/>
  <c r="AI7" i="3"/>
  <c r="AI5" i="3"/>
  <c r="AI11" i="3"/>
  <c r="AI14" i="3"/>
  <c r="AI13" i="3"/>
  <c r="AJ30" i="3"/>
  <c r="A81" i="24" l="1"/>
  <c r="A679" i="13"/>
  <c r="AL5" i="8"/>
  <c r="AL50" i="3" s="1"/>
  <c r="AH7" i="14"/>
  <c r="AO5" i="1"/>
  <c r="AJ51" i="3"/>
  <c r="AM3" i="1"/>
  <c r="AJ19" i="3"/>
  <c r="AJ20" i="3"/>
  <c r="AJ21" i="3"/>
  <c r="AJ22" i="3"/>
  <c r="AJ23" i="3"/>
  <c r="AJ24" i="3"/>
  <c r="AJ25" i="3"/>
  <c r="AJ26" i="3"/>
  <c r="AN7" i="1"/>
  <c r="AG8" i="14"/>
  <c r="AK6" i="8"/>
  <c r="AK51" i="3" s="1"/>
  <c r="AJ4" i="8"/>
  <c r="AJ49" i="3" s="1"/>
  <c r="AI49" i="3"/>
  <c r="AI55" i="3"/>
  <c r="AM23" i="8"/>
  <c r="AQ41" i="1" s="1"/>
  <c r="AP41" i="1"/>
  <c r="AI25" i="14"/>
  <c r="AF6" i="14"/>
  <c r="AH11" i="14"/>
  <c r="AO13" i="1"/>
  <c r="AL9" i="8"/>
  <c r="AI52" i="3"/>
  <c r="AF9" i="14"/>
  <c r="AM9" i="1"/>
  <c r="AJ7" i="8"/>
  <c r="AL8" i="8"/>
  <c r="AL53" i="3" s="1"/>
  <c r="AH10" i="14"/>
  <c r="AO11" i="1"/>
  <c r="AI4" i="3"/>
  <c r="AI3" i="3" s="1"/>
  <c r="AH3" i="8"/>
  <c r="P9" i="10"/>
  <c r="O6" i="10"/>
  <c r="N6" i="10"/>
  <c r="O5" i="10"/>
  <c r="R5" i="10" s="1"/>
  <c r="P8" i="10"/>
  <c r="N8" i="10"/>
  <c r="N7" i="10"/>
  <c r="P7" i="10"/>
  <c r="O7" i="10"/>
  <c r="N9" i="10"/>
  <c r="AH19" i="14"/>
  <c r="AO29" i="1"/>
  <c r="AL17" i="8"/>
  <c r="AJ23" i="14"/>
  <c r="AQ37" i="1"/>
  <c r="AN15" i="8"/>
  <c r="AJ12" i="14"/>
  <c r="AQ15" i="1"/>
  <c r="AJ22" i="14"/>
  <c r="AQ35" i="1"/>
  <c r="AH14" i="14"/>
  <c r="AO19" i="1"/>
  <c r="AL12" i="8"/>
  <c r="AH13" i="14"/>
  <c r="AO17" i="1"/>
  <c r="AL11" i="8"/>
  <c r="AJ17" i="14"/>
  <c r="AQ25" i="1"/>
  <c r="AJ21" i="14"/>
  <c r="AQ33" i="1"/>
  <c r="AJ18" i="14"/>
  <c r="AQ27" i="1"/>
  <c r="AH15" i="14"/>
  <c r="AO21" i="1"/>
  <c r="AL13" i="8"/>
  <c r="AJ16" i="14"/>
  <c r="AQ23" i="1"/>
  <c r="AJ24" i="14"/>
  <c r="AQ39" i="1"/>
  <c r="AH20" i="14"/>
  <c r="AO31" i="1"/>
  <c r="AL18" i="8"/>
  <c r="AC25" i="12"/>
  <c r="AC15" i="12"/>
  <c r="AC5" i="12"/>
  <c r="AB23" i="12"/>
  <c r="AB21" i="12"/>
  <c r="AC10" i="12"/>
  <c r="AJ45" i="3"/>
  <c r="AC23" i="12"/>
  <c r="AC21" i="12"/>
  <c r="AJ46" i="3"/>
  <c r="AJ38" i="3"/>
  <c r="AJ35" i="3"/>
  <c r="AJ18" i="3"/>
  <c r="AJ37" i="3"/>
  <c r="AJ43" i="3"/>
  <c r="AJ9" i="3"/>
  <c r="AJ15" i="3"/>
  <c r="AJ34" i="3"/>
  <c r="AJ16" i="3"/>
  <c r="AJ47" i="3"/>
  <c r="AJ36" i="3"/>
  <c r="AJ17" i="3"/>
  <c r="AJ44" i="3"/>
  <c r="AN22" i="8"/>
  <c r="AN20" i="8"/>
  <c r="AN21" i="8"/>
  <c r="AN19" i="8"/>
  <c r="AN16" i="8"/>
  <c r="AN10" i="8"/>
  <c r="AN14" i="8"/>
  <c r="AO26" i="8"/>
  <c r="AJ14" i="3"/>
  <c r="AJ6" i="3"/>
  <c r="AJ10" i="3"/>
  <c r="AJ7" i="3"/>
  <c r="AJ5" i="3"/>
  <c r="AJ8" i="3"/>
  <c r="AJ13" i="3"/>
  <c r="AJ12" i="3"/>
  <c r="AJ11" i="3"/>
  <c r="AK30" i="3"/>
  <c r="A82" i="24" l="1"/>
  <c r="A680" i="13"/>
  <c r="AI7" i="14"/>
  <c r="AP5" i="1"/>
  <c r="AM5" i="8"/>
  <c r="AM50" i="3" s="1"/>
  <c r="AL54" i="3"/>
  <c r="S9" i="10"/>
  <c r="R9" i="10"/>
  <c r="R7" i="10"/>
  <c r="S7" i="10"/>
  <c r="R8" i="10"/>
  <c r="S8" i="10"/>
  <c r="R6" i="10"/>
  <c r="S6" i="10"/>
  <c r="S5" i="10"/>
  <c r="AH8" i="14"/>
  <c r="AK22" i="3"/>
  <c r="AK23" i="3"/>
  <c r="AK25" i="3"/>
  <c r="AK19" i="3"/>
  <c r="AK20" i="3"/>
  <c r="AK21" i="3"/>
  <c r="AK24" i="3"/>
  <c r="AK26" i="3"/>
  <c r="AL6" i="8"/>
  <c r="AO7" i="1"/>
  <c r="AN3" i="1"/>
  <c r="AG6" i="14"/>
  <c r="AK4" i="8"/>
  <c r="AO3" i="1" s="1"/>
  <c r="AJ55" i="3"/>
  <c r="AJ25" i="14"/>
  <c r="AN23" i="8"/>
  <c r="AO23" i="8" s="1"/>
  <c r="AM9" i="8"/>
  <c r="AM54" i="3" s="1"/>
  <c r="AI11" i="14"/>
  <c r="AP13" i="1"/>
  <c r="AJ52" i="3"/>
  <c r="AG9" i="14"/>
  <c r="AN9" i="1"/>
  <c r="AK7" i="8"/>
  <c r="AM8" i="8"/>
  <c r="AM53" i="3" s="1"/>
  <c r="AI10" i="14"/>
  <c r="AP11" i="1"/>
  <c r="AJ4" i="3"/>
  <c r="AJ3" i="3" s="1"/>
  <c r="AI3" i="8"/>
  <c r="AK21" i="14"/>
  <c r="AR33" i="1"/>
  <c r="AI19" i="14"/>
  <c r="AP29" i="1"/>
  <c r="AM17" i="8"/>
  <c r="AK12" i="14"/>
  <c r="AR15" i="1"/>
  <c r="AK23" i="14"/>
  <c r="AR37" i="1"/>
  <c r="AK22" i="14"/>
  <c r="AR35" i="1"/>
  <c r="AI20" i="14"/>
  <c r="AP31" i="1"/>
  <c r="AM18" i="8"/>
  <c r="AI13" i="14"/>
  <c r="AP17" i="1"/>
  <c r="AM11" i="8"/>
  <c r="AI15" i="14"/>
  <c r="AP21" i="1"/>
  <c r="AM13" i="8"/>
  <c r="AK18" i="14"/>
  <c r="AR27" i="1"/>
  <c r="AK16" i="14"/>
  <c r="AR23" i="1"/>
  <c r="AK24" i="14"/>
  <c r="AR39" i="1"/>
  <c r="AK17" i="14"/>
  <c r="AR25" i="1"/>
  <c r="AI14" i="14"/>
  <c r="AP19" i="1"/>
  <c r="AM12" i="8"/>
  <c r="AO15" i="8"/>
  <c r="AD5" i="12"/>
  <c r="AD20" i="12"/>
  <c r="AC28" i="12"/>
  <c r="AC26" i="12"/>
  <c r="AD25" i="12"/>
  <c r="AC13" i="12"/>
  <c r="AC11" i="12"/>
  <c r="AC8" i="12"/>
  <c r="AC6" i="12"/>
  <c r="AD10" i="12"/>
  <c r="AD15" i="12"/>
  <c r="AC18" i="12"/>
  <c r="AC16" i="12"/>
  <c r="AK9" i="3"/>
  <c r="AK43" i="3"/>
  <c r="AK37" i="3"/>
  <c r="AK17" i="3"/>
  <c r="AK35" i="3"/>
  <c r="AK18" i="3"/>
  <c r="AK34" i="3"/>
  <c r="AK15" i="3"/>
  <c r="AK8" i="3"/>
  <c r="AK46" i="3"/>
  <c r="AK44" i="3"/>
  <c r="AK36" i="3"/>
  <c r="AK47" i="3"/>
  <c r="AE25" i="12" s="1"/>
  <c r="AK45" i="3"/>
  <c r="AK38" i="3"/>
  <c r="AK16" i="3"/>
  <c r="AK13" i="3"/>
  <c r="AO20" i="8"/>
  <c r="AO16" i="8"/>
  <c r="AO19" i="8"/>
  <c r="AO22" i="8"/>
  <c r="AO21" i="8"/>
  <c r="AP26" i="8"/>
  <c r="AO14" i="8"/>
  <c r="AO10" i="8"/>
  <c r="AK6" i="3"/>
  <c r="AK7" i="3"/>
  <c r="AK10" i="3"/>
  <c r="AK5" i="3"/>
  <c r="AK14" i="3"/>
  <c r="AK11" i="3"/>
  <c r="AK12" i="3"/>
  <c r="AL30" i="3"/>
  <c r="A83" i="24" l="1"/>
  <c r="A681" i="13"/>
  <c r="AQ5" i="1"/>
  <c r="AN5" i="8"/>
  <c r="AN50" i="3" s="1"/>
  <c r="AJ7" i="14"/>
  <c r="AL51" i="3"/>
  <c r="AL19" i="3"/>
  <c r="AL20" i="3"/>
  <c r="AL21" i="3"/>
  <c r="AL22" i="3"/>
  <c r="AL23" i="3"/>
  <c r="AL24" i="3"/>
  <c r="AL25" i="3"/>
  <c r="AL26" i="3"/>
  <c r="AL4" i="8"/>
  <c r="AL49" i="3" s="1"/>
  <c r="AK49" i="3"/>
  <c r="AP7" i="1"/>
  <c r="AM6" i="8"/>
  <c r="AM51" i="3" s="1"/>
  <c r="AI8" i="14"/>
  <c r="AK55" i="3"/>
  <c r="AH6" i="14"/>
  <c r="AR41" i="1"/>
  <c r="AK25" i="14"/>
  <c r="AJ11" i="14"/>
  <c r="AQ13" i="1"/>
  <c r="AN9" i="8"/>
  <c r="AN54" i="3" s="1"/>
  <c r="AK4" i="3"/>
  <c r="AK3" i="3" s="1"/>
  <c r="AK52" i="3"/>
  <c r="AO9" i="1"/>
  <c r="AL7" i="8"/>
  <c r="AH9" i="14"/>
  <c r="AJ3" i="8"/>
  <c r="AQ11" i="1"/>
  <c r="AJ10" i="14"/>
  <c r="AN8" i="8"/>
  <c r="AN53" i="3" s="1"/>
  <c r="T9" i="10"/>
  <c r="DD38" i="3" s="1"/>
  <c r="T6" i="10"/>
  <c r="DD35" i="3" s="1"/>
  <c r="T5" i="10"/>
  <c r="DD34" i="3" s="1"/>
  <c r="T8" i="10"/>
  <c r="DD37" i="3" s="1"/>
  <c r="T7" i="10"/>
  <c r="DD36" i="3" s="1"/>
  <c r="AL21" i="14"/>
  <c r="AS33" i="1"/>
  <c r="AL25" i="14"/>
  <c r="AS41" i="1"/>
  <c r="AL17" i="14"/>
  <c r="AS25" i="1"/>
  <c r="AJ15" i="14"/>
  <c r="AQ21" i="1"/>
  <c r="AN13" i="8"/>
  <c r="AL12" i="14"/>
  <c r="AS15" i="1"/>
  <c r="AL22" i="14"/>
  <c r="AS35" i="1"/>
  <c r="AJ14" i="14"/>
  <c r="AQ19" i="1"/>
  <c r="AL18" i="14"/>
  <c r="AS27" i="1"/>
  <c r="AL16" i="14"/>
  <c r="AS23" i="1"/>
  <c r="AP15" i="8"/>
  <c r="AP23" i="8"/>
  <c r="AJ20" i="14"/>
  <c r="AQ31" i="1"/>
  <c r="AN18" i="8"/>
  <c r="AJ13" i="14"/>
  <c r="AQ17" i="1"/>
  <c r="AN11" i="8"/>
  <c r="AP21" i="8"/>
  <c r="AL23" i="14"/>
  <c r="AS37" i="1"/>
  <c r="AL24" i="14"/>
  <c r="AS39" i="1"/>
  <c r="AJ19" i="14"/>
  <c r="AQ29" i="1"/>
  <c r="AN17" i="8"/>
  <c r="AN12" i="8"/>
  <c r="AE15" i="12"/>
  <c r="AE5" i="12"/>
  <c r="AD18" i="12"/>
  <c r="AD16" i="12"/>
  <c r="AD23" i="12"/>
  <c r="AD21" i="12"/>
  <c r="AE26" i="12"/>
  <c r="AE28" i="12"/>
  <c r="AD11" i="12"/>
  <c r="AD13" i="12"/>
  <c r="AE10" i="12"/>
  <c r="AD26" i="12"/>
  <c r="AD28" i="12"/>
  <c r="AD8" i="12"/>
  <c r="AD6" i="12"/>
  <c r="AE20" i="12"/>
  <c r="AL47" i="3"/>
  <c r="AL13" i="3"/>
  <c r="AP19" i="8"/>
  <c r="AL36" i="3"/>
  <c r="AL44" i="3"/>
  <c r="AL34" i="3"/>
  <c r="AL46" i="3"/>
  <c r="AL18" i="3"/>
  <c r="AL16" i="3"/>
  <c r="AL35" i="3"/>
  <c r="AL17" i="3"/>
  <c r="AL38" i="3"/>
  <c r="AL45" i="3"/>
  <c r="AL37" i="3"/>
  <c r="AL15" i="3"/>
  <c r="AL43" i="3"/>
  <c r="AP22" i="8"/>
  <c r="AP16" i="8"/>
  <c r="AP20" i="8"/>
  <c r="AP14" i="8"/>
  <c r="AP10" i="8"/>
  <c r="AQ26" i="8"/>
  <c r="AL14" i="3"/>
  <c r="AL8" i="3"/>
  <c r="AL6" i="3"/>
  <c r="AL10" i="3"/>
  <c r="AL5" i="3"/>
  <c r="AL9" i="3"/>
  <c r="AL11" i="3"/>
  <c r="AL7" i="3"/>
  <c r="AL12" i="3"/>
  <c r="AM30" i="3"/>
  <c r="A84" i="24" l="1"/>
  <c r="A682" i="13"/>
  <c r="AK7" i="14"/>
  <c r="AR5" i="1"/>
  <c r="AO5" i="8"/>
  <c r="AO50" i="3" s="1"/>
  <c r="DD39" i="3"/>
  <c r="AF5" i="12"/>
  <c r="AF6" i="12" s="1"/>
  <c r="AF20" i="12"/>
  <c r="AF23" i="12" s="1"/>
  <c r="AF15" i="12"/>
  <c r="AF18" i="12" s="1"/>
  <c r="AN6" i="8"/>
  <c r="AN51" i="3" s="1"/>
  <c r="AJ8" i="14"/>
  <c r="AQ7" i="1"/>
  <c r="AM26" i="3"/>
  <c r="AM19" i="3"/>
  <c r="AM20" i="3"/>
  <c r="AM21" i="3"/>
  <c r="AM22" i="3"/>
  <c r="AM23" i="3"/>
  <c r="AM24" i="3"/>
  <c r="AM25" i="3"/>
  <c r="AM4" i="8"/>
  <c r="AM55" i="3" s="1"/>
  <c r="AI6" i="14"/>
  <c r="AL55" i="3"/>
  <c r="AP3" i="1"/>
  <c r="AK11" i="14"/>
  <c r="AO9" i="8"/>
  <c r="AO54" i="3" s="1"/>
  <c r="AR13" i="1"/>
  <c r="AL4" i="3"/>
  <c r="AL3" i="3" s="1"/>
  <c r="AK3" i="8"/>
  <c r="AL52" i="3"/>
  <c r="AI9" i="14"/>
  <c r="AP9" i="1"/>
  <c r="AM7" i="8"/>
  <c r="AK10" i="14"/>
  <c r="AR11" i="1"/>
  <c r="AO8" i="8"/>
  <c r="AO53" i="3" s="1"/>
  <c r="T10" i="10"/>
  <c r="AM13" i="3"/>
  <c r="AK19" i="14"/>
  <c r="AR29" i="1"/>
  <c r="AO17" i="8"/>
  <c r="AM12" i="14"/>
  <c r="AT15" i="1"/>
  <c r="AM22" i="14"/>
  <c r="AT35" i="1"/>
  <c r="AK20" i="14"/>
  <c r="AR31" i="1"/>
  <c r="AO18" i="8"/>
  <c r="AK15" i="14"/>
  <c r="AR21" i="1"/>
  <c r="AO13" i="8"/>
  <c r="AM16" i="14"/>
  <c r="AT23" i="1"/>
  <c r="AM21" i="14"/>
  <c r="AT33" i="1"/>
  <c r="AM23" i="14"/>
  <c r="AT37" i="1"/>
  <c r="AM18" i="14"/>
  <c r="AT27" i="1"/>
  <c r="AK14" i="14"/>
  <c r="AR19" i="1"/>
  <c r="AO12" i="8"/>
  <c r="AQ22" i="8"/>
  <c r="AM24" i="14"/>
  <c r="AT39" i="1"/>
  <c r="AQ15" i="8"/>
  <c r="AQ23" i="8"/>
  <c r="AM25" i="14"/>
  <c r="AT41" i="1"/>
  <c r="AK13" i="14"/>
  <c r="AR17" i="1"/>
  <c r="AM17" i="14"/>
  <c r="AT25" i="1"/>
  <c r="AO11" i="8"/>
  <c r="AE11" i="12"/>
  <c r="AE13" i="12"/>
  <c r="AF25" i="12"/>
  <c r="AE21" i="12"/>
  <c r="AE23" i="12"/>
  <c r="AE8" i="12"/>
  <c r="AE6" i="12"/>
  <c r="AF10" i="12"/>
  <c r="AE16" i="12"/>
  <c r="AE18" i="12"/>
  <c r="AM45" i="3"/>
  <c r="AM46" i="3"/>
  <c r="AM43" i="3"/>
  <c r="AM38" i="3"/>
  <c r="AM34" i="3"/>
  <c r="AM15" i="3"/>
  <c r="AM17" i="3"/>
  <c r="AQ20" i="8"/>
  <c r="AM44" i="3"/>
  <c r="AM35" i="3"/>
  <c r="AM36" i="3"/>
  <c r="AM37" i="3"/>
  <c r="AM16" i="3"/>
  <c r="AM18" i="3"/>
  <c r="AM47" i="3"/>
  <c r="AG25" i="12" s="1"/>
  <c r="AQ21" i="8"/>
  <c r="AQ19" i="8"/>
  <c r="AQ16" i="8"/>
  <c r="AR26" i="8"/>
  <c r="AQ14" i="8"/>
  <c r="AQ10" i="8"/>
  <c r="AM7" i="3"/>
  <c r="AM8" i="3"/>
  <c r="AM14" i="3"/>
  <c r="AM11" i="3"/>
  <c r="AM10" i="3"/>
  <c r="AM9" i="3"/>
  <c r="AM12" i="3"/>
  <c r="AM6" i="3"/>
  <c r="AM5" i="3"/>
  <c r="AN30" i="3"/>
  <c r="A85" i="24" l="1"/>
  <c r="A683" i="13"/>
  <c r="AS5" i="1"/>
  <c r="AL7" i="14"/>
  <c r="AP5" i="8"/>
  <c r="AP50" i="3" s="1"/>
  <c r="AF21" i="12"/>
  <c r="AF8" i="12"/>
  <c r="AF16" i="12"/>
  <c r="AO6" i="8"/>
  <c r="AO51" i="3" s="1"/>
  <c r="AR7" i="1"/>
  <c r="AK8" i="14"/>
  <c r="AN19" i="3"/>
  <c r="AN20" i="3"/>
  <c r="AN21" i="3"/>
  <c r="AN22" i="3"/>
  <c r="AN23" i="3"/>
  <c r="AN24" i="3"/>
  <c r="AN25" i="3"/>
  <c r="AN26" i="3"/>
  <c r="AM49" i="3"/>
  <c r="AJ6" i="14"/>
  <c r="AQ3" i="1"/>
  <c r="AN4" i="8"/>
  <c r="AO4" i="8" s="1"/>
  <c r="AS13" i="1"/>
  <c r="AL11" i="14"/>
  <c r="AP9" i="8"/>
  <c r="AP54" i="3" s="1"/>
  <c r="AM4" i="3"/>
  <c r="AM3" i="3" s="1"/>
  <c r="AL3" i="8"/>
  <c r="AM52" i="3"/>
  <c r="AJ9" i="14"/>
  <c r="AQ9" i="1"/>
  <c r="AN7" i="8"/>
  <c r="AL10" i="14"/>
  <c r="AP8" i="8"/>
  <c r="AP53" i="3" s="1"/>
  <c r="AS11" i="1"/>
  <c r="AS26" i="8"/>
  <c r="BN26" i="8" s="1"/>
  <c r="AN45" i="3"/>
  <c r="AR15" i="8"/>
  <c r="AR23" i="8"/>
  <c r="AN16" i="14"/>
  <c r="AU23" i="1"/>
  <c r="AN25" i="14"/>
  <c r="AU41" i="1"/>
  <c r="AN21" i="14"/>
  <c r="AU33" i="1"/>
  <c r="AN17" i="14"/>
  <c r="AU25" i="1"/>
  <c r="AL14" i="14"/>
  <c r="AS19" i="1"/>
  <c r="AL15" i="14"/>
  <c r="AS21" i="1"/>
  <c r="AP13" i="8"/>
  <c r="AN23" i="14"/>
  <c r="AU37" i="1"/>
  <c r="AL13" i="14"/>
  <c r="AS17" i="1"/>
  <c r="AP11" i="8"/>
  <c r="AL19" i="14"/>
  <c r="AS29" i="1"/>
  <c r="AP17" i="8"/>
  <c r="AN22" i="14"/>
  <c r="AU35" i="1"/>
  <c r="AN24" i="14"/>
  <c r="AU39" i="1"/>
  <c r="AL20" i="14"/>
  <c r="AS31" i="1"/>
  <c r="AP18" i="8"/>
  <c r="AN12" i="14"/>
  <c r="AU15" i="1"/>
  <c r="AN18" i="14"/>
  <c r="AU27" i="1"/>
  <c r="AP12" i="8"/>
  <c r="AG15" i="12"/>
  <c r="AF13" i="12"/>
  <c r="AF11" i="12"/>
  <c r="AG20" i="12"/>
  <c r="AG5" i="12"/>
  <c r="AN38" i="3"/>
  <c r="AG10" i="12"/>
  <c r="AG28" i="12"/>
  <c r="AG26" i="12"/>
  <c r="AF26" i="12"/>
  <c r="AF28" i="12"/>
  <c r="AN47" i="3"/>
  <c r="AN37" i="3"/>
  <c r="AN36" i="3"/>
  <c r="AN18" i="3"/>
  <c r="AN44" i="3"/>
  <c r="AN17" i="3"/>
  <c r="AN43" i="3"/>
  <c r="AN35" i="3"/>
  <c r="AN34" i="3"/>
  <c r="AN16" i="3"/>
  <c r="AN15" i="3"/>
  <c r="AN46" i="3"/>
  <c r="AR16" i="8"/>
  <c r="AN7" i="3"/>
  <c r="AR20" i="8"/>
  <c r="AR19" i="8"/>
  <c r="AR22" i="8"/>
  <c r="AR21" i="8"/>
  <c r="AR14" i="8"/>
  <c r="AR10" i="8"/>
  <c r="AN14" i="3"/>
  <c r="AN8" i="3"/>
  <c r="AN6" i="3"/>
  <c r="AN13" i="3"/>
  <c r="AN12" i="3"/>
  <c r="AN9" i="3"/>
  <c r="AN10" i="3"/>
  <c r="AN11" i="3"/>
  <c r="AN5" i="3"/>
  <c r="AO30" i="3"/>
  <c r="A86" i="24" l="1"/>
  <c r="A684" i="13"/>
  <c r="AQ5" i="8"/>
  <c r="AQ50" i="3" s="1"/>
  <c r="AM7" i="14"/>
  <c r="AT5" i="1"/>
  <c r="AP6" i="8"/>
  <c r="AP51" i="3" s="1"/>
  <c r="AS7" i="1"/>
  <c r="AL8" i="14"/>
  <c r="AO19" i="3"/>
  <c r="AO23" i="3"/>
  <c r="AO25" i="3"/>
  <c r="AO24" i="3"/>
  <c r="AO26" i="3"/>
  <c r="AO20" i="3"/>
  <c r="AO21" i="3"/>
  <c r="AO22" i="3"/>
  <c r="AN55" i="3"/>
  <c r="AK6" i="14"/>
  <c r="AN49" i="3"/>
  <c r="AR3" i="1"/>
  <c r="AO49" i="3"/>
  <c r="AO55" i="3"/>
  <c r="AQ9" i="8"/>
  <c r="AQ54" i="3" s="1"/>
  <c r="AP4" i="8"/>
  <c r="AT13" i="1"/>
  <c r="AM11" i="14"/>
  <c r="AS3" i="1"/>
  <c r="AL6" i="14"/>
  <c r="AN4" i="3"/>
  <c r="AN3" i="3" s="1"/>
  <c r="AM3" i="8"/>
  <c r="AN52" i="3"/>
  <c r="AR9" i="1"/>
  <c r="AO7" i="8"/>
  <c r="AK9" i="14"/>
  <c r="AM10" i="14"/>
  <c r="AT11" i="1"/>
  <c r="AQ8" i="8"/>
  <c r="AQ53" i="3" s="1"/>
  <c r="AS15" i="8"/>
  <c r="AS23" i="8"/>
  <c r="BN23" i="8" s="1"/>
  <c r="AT26" i="8"/>
  <c r="AH15" i="12"/>
  <c r="BQ27" i="3"/>
  <c r="BD17" i="14" s="1"/>
  <c r="BQ39" i="3"/>
  <c r="BY27" i="3"/>
  <c r="BD25" i="14" s="1"/>
  <c r="BY39" i="3"/>
  <c r="AS10" i="8"/>
  <c r="BN10" i="8" s="1"/>
  <c r="AO12" i="14"/>
  <c r="AV15" i="1"/>
  <c r="AS14" i="8"/>
  <c r="BN14" i="8" s="1"/>
  <c r="AO16" i="14"/>
  <c r="AV23" i="1"/>
  <c r="AM13" i="14"/>
  <c r="AT17" i="1"/>
  <c r="AQ11" i="8"/>
  <c r="AM15" i="14"/>
  <c r="AT21" i="1"/>
  <c r="AQ13" i="8"/>
  <c r="AR13" i="8" s="1"/>
  <c r="AS20" i="8"/>
  <c r="BN20" i="8" s="1"/>
  <c r="AO22" i="14"/>
  <c r="AV35" i="1"/>
  <c r="AM14" i="14"/>
  <c r="AT19" i="1"/>
  <c r="AQ12" i="8"/>
  <c r="AS21" i="8"/>
  <c r="BN21" i="8" s="1"/>
  <c r="AO23" i="14"/>
  <c r="AV37" i="1"/>
  <c r="AM20" i="14"/>
  <c r="AT31" i="1"/>
  <c r="AQ18" i="8"/>
  <c r="AO25" i="14"/>
  <c r="AV41" i="1"/>
  <c r="AS16" i="8"/>
  <c r="BN16" i="8" s="1"/>
  <c r="AO18" i="14"/>
  <c r="AV27" i="1"/>
  <c r="AM19" i="14"/>
  <c r="AT29" i="1"/>
  <c r="AQ17" i="8"/>
  <c r="AO17" i="14"/>
  <c r="AV25" i="1"/>
  <c r="AS19" i="8"/>
  <c r="BN19" i="8" s="1"/>
  <c r="AO21" i="14"/>
  <c r="AV33" i="1"/>
  <c r="AS22" i="8"/>
  <c r="BN22" i="8" s="1"/>
  <c r="AO24" i="14"/>
  <c r="AV39" i="1"/>
  <c r="AH20" i="12"/>
  <c r="AH10" i="12"/>
  <c r="AG8" i="12"/>
  <c r="AG6" i="12"/>
  <c r="AH25" i="12"/>
  <c r="AG23" i="12"/>
  <c r="AG21" i="12"/>
  <c r="AH5" i="12"/>
  <c r="AG13" i="12"/>
  <c r="AG11" i="12"/>
  <c r="AG18" i="12"/>
  <c r="AG16" i="12"/>
  <c r="AO44" i="3"/>
  <c r="AO38" i="3"/>
  <c r="AO46" i="3"/>
  <c r="AO15" i="3"/>
  <c r="AO18" i="3"/>
  <c r="AO7" i="3"/>
  <c r="AO37" i="3"/>
  <c r="AO47" i="3"/>
  <c r="AI25" i="12" s="1"/>
  <c r="AO36" i="3"/>
  <c r="AO16" i="3"/>
  <c r="AO34" i="3"/>
  <c r="AO17" i="3"/>
  <c r="AO43" i="3"/>
  <c r="AI5" i="12" s="1"/>
  <c r="AO45" i="3"/>
  <c r="AI15" i="12" s="1"/>
  <c r="AO35" i="3"/>
  <c r="AO9" i="3"/>
  <c r="AO6" i="3"/>
  <c r="AO12" i="3"/>
  <c r="AO8" i="3"/>
  <c r="AO5" i="3"/>
  <c r="AO14" i="3"/>
  <c r="AO11" i="3"/>
  <c r="AO10" i="3"/>
  <c r="AO13" i="3"/>
  <c r="AP30" i="3"/>
  <c r="A87" i="24" l="1"/>
  <c r="A685" i="13"/>
  <c r="L421" i="13"/>
  <c r="L561" i="13"/>
  <c r="L501" i="13"/>
  <c r="L195" i="13"/>
  <c r="L281" i="13"/>
  <c r="L321" i="13"/>
  <c r="L361" i="13"/>
  <c r="L461" i="13"/>
  <c r="L541" i="13"/>
  <c r="L198" i="13"/>
  <c r="L192" i="13"/>
  <c r="L401" i="13"/>
  <c r="L441" i="13"/>
  <c r="L193" i="13"/>
  <c r="L481" i="13"/>
  <c r="L521" i="13"/>
  <c r="L381" i="13"/>
  <c r="L201" i="13"/>
  <c r="L196" i="13"/>
  <c r="L197" i="13"/>
  <c r="L261" i="13"/>
  <c r="L199" i="13"/>
  <c r="L341" i="13"/>
  <c r="L301" i="13"/>
  <c r="L581" i="13"/>
  <c r="L601" i="13"/>
  <c r="L194" i="13"/>
  <c r="L200" i="13"/>
  <c r="AN7" i="14"/>
  <c r="AR5" i="8"/>
  <c r="AR50" i="3" s="1"/>
  <c r="AU5" i="1"/>
  <c r="AP17" i="14"/>
  <c r="BN15" i="8"/>
  <c r="BM25" i="14"/>
  <c r="BN25" i="14"/>
  <c r="BL25" i="14"/>
  <c r="BI25" i="14"/>
  <c r="BE25" i="14"/>
  <c r="BH25" i="14"/>
  <c r="BK25" i="14"/>
  <c r="BJ25" i="14"/>
  <c r="BF25" i="14"/>
  <c r="BG25" i="14"/>
  <c r="BF17" i="14"/>
  <c r="BJ17" i="14"/>
  <c r="BL17" i="14"/>
  <c r="BM17" i="14"/>
  <c r="BK17" i="14"/>
  <c r="BE17" i="14"/>
  <c r="BH17" i="14"/>
  <c r="BN17" i="14"/>
  <c r="BG17" i="14"/>
  <c r="BI17" i="14"/>
  <c r="AT7" i="1"/>
  <c r="AQ6" i="8"/>
  <c r="AR6" i="8" s="1"/>
  <c r="AR51" i="3" s="1"/>
  <c r="AM8" i="14"/>
  <c r="AP19" i="3"/>
  <c r="AP20" i="3"/>
  <c r="AP21" i="3"/>
  <c r="AP22" i="3"/>
  <c r="AP23" i="3"/>
  <c r="AP24" i="3"/>
  <c r="AP26" i="3"/>
  <c r="AP25" i="3"/>
  <c r="AP49" i="3"/>
  <c r="AP55" i="3"/>
  <c r="AT3" i="1"/>
  <c r="AQ4" i="8"/>
  <c r="AR4" i="8" s="1"/>
  <c r="AM6" i="14"/>
  <c r="AN11" i="14"/>
  <c r="AU13" i="1"/>
  <c r="AR9" i="8"/>
  <c r="AR54" i="3" s="1"/>
  <c r="AO4" i="3"/>
  <c r="AP4" i="3" s="1"/>
  <c r="AP3" i="3" s="1"/>
  <c r="AN3" i="8"/>
  <c r="AO52" i="3"/>
  <c r="AS9" i="1"/>
  <c r="AP7" i="8"/>
  <c r="AL9" i="14"/>
  <c r="AP25" i="14"/>
  <c r="AU11" i="1"/>
  <c r="AR8" i="8"/>
  <c r="AR53" i="3" s="1"/>
  <c r="AN10" i="14"/>
  <c r="AW41" i="1"/>
  <c r="BA41" i="1" s="1"/>
  <c r="AT23" i="8"/>
  <c r="AW25" i="1"/>
  <c r="BA25" i="1" s="1"/>
  <c r="BG48" i="3"/>
  <c r="BG39" i="3" s="1"/>
  <c r="BE7" i="14" s="1"/>
  <c r="AT10" i="8"/>
  <c r="AQ12" i="14" s="1"/>
  <c r="AU26" i="8"/>
  <c r="AT22" i="8"/>
  <c r="AT19" i="8"/>
  <c r="AT16" i="8"/>
  <c r="AQ18" i="14" s="1"/>
  <c r="AT20" i="8"/>
  <c r="AT15" i="8"/>
  <c r="AQ17" i="14" s="1"/>
  <c r="AT14" i="8"/>
  <c r="AQ16" i="14" s="1"/>
  <c r="AT21" i="8"/>
  <c r="AH18" i="12"/>
  <c r="AH16" i="12"/>
  <c r="BV39" i="3"/>
  <c r="BV27" i="3"/>
  <c r="BD22" i="14" s="1"/>
  <c r="BW39" i="3"/>
  <c r="BW27" i="3"/>
  <c r="BD23" i="14" s="1"/>
  <c r="BK27" i="3"/>
  <c r="BD11" i="14" s="1"/>
  <c r="BK39" i="3"/>
  <c r="BL27" i="3"/>
  <c r="BD12" i="14" s="1"/>
  <c r="BL39" i="3"/>
  <c r="BR27" i="3"/>
  <c r="BD18" i="14" s="1"/>
  <c r="BR39" i="3"/>
  <c r="BX39" i="3"/>
  <c r="BX27" i="3"/>
  <c r="BD24" i="14" s="1"/>
  <c r="BP39" i="3"/>
  <c r="BP27" i="3"/>
  <c r="BD16" i="14" s="1"/>
  <c r="BJ27" i="3"/>
  <c r="BD10" i="14" s="1"/>
  <c r="BJ39" i="3"/>
  <c r="BU27" i="3"/>
  <c r="BD21" i="14" s="1"/>
  <c r="BU39" i="3"/>
  <c r="AS13" i="8"/>
  <c r="BN13" i="8" s="1"/>
  <c r="AO15" i="14"/>
  <c r="AV21" i="1"/>
  <c r="AN19" i="14"/>
  <c r="AU29" i="1"/>
  <c r="AR17" i="8"/>
  <c r="AP24" i="14"/>
  <c r="AW39" i="1"/>
  <c r="AP16" i="14"/>
  <c r="AW23" i="1"/>
  <c r="AN15" i="14"/>
  <c r="AU21" i="1"/>
  <c r="AN14" i="14"/>
  <c r="AU19" i="1"/>
  <c r="AR12" i="8"/>
  <c r="AP21" i="14"/>
  <c r="AW33" i="1"/>
  <c r="AP18" i="14"/>
  <c r="AW27" i="1"/>
  <c r="AN20" i="14"/>
  <c r="AU31" i="1"/>
  <c r="AR18" i="8"/>
  <c r="AN13" i="14"/>
  <c r="AU17" i="1"/>
  <c r="AR11" i="8"/>
  <c r="AP12" i="14"/>
  <c r="AW15" i="1"/>
  <c r="AP23" i="14"/>
  <c r="AW37" i="1"/>
  <c r="AP22" i="14"/>
  <c r="AW35" i="1"/>
  <c r="AH13" i="12"/>
  <c r="AH11" i="12"/>
  <c r="AI20" i="12"/>
  <c r="AH8" i="12"/>
  <c r="AH6" i="12"/>
  <c r="AI28" i="12"/>
  <c r="AI26" i="12"/>
  <c r="AI18" i="12"/>
  <c r="AI16" i="12"/>
  <c r="AH28" i="12"/>
  <c r="AH26" i="12"/>
  <c r="AI8" i="12"/>
  <c r="AI6" i="12"/>
  <c r="AI10" i="12"/>
  <c r="AH23" i="12"/>
  <c r="AH21" i="12"/>
  <c r="AP47" i="3"/>
  <c r="AP45" i="3"/>
  <c r="AP43" i="3"/>
  <c r="AP38" i="3"/>
  <c r="AP37" i="3"/>
  <c r="AP36" i="3"/>
  <c r="AP35" i="3"/>
  <c r="AP18" i="3"/>
  <c r="AP44" i="3"/>
  <c r="AJ10" i="12" s="1"/>
  <c r="AP15" i="3"/>
  <c r="AP17" i="3"/>
  <c r="AP34" i="3"/>
  <c r="AP16" i="3"/>
  <c r="AP46" i="3"/>
  <c r="AJ20" i="12" s="1"/>
  <c r="AP6" i="3"/>
  <c r="AP12" i="3"/>
  <c r="AP8" i="3"/>
  <c r="AP9" i="3"/>
  <c r="AP11" i="3"/>
  <c r="AP7" i="3"/>
  <c r="AP14" i="3"/>
  <c r="AP13" i="3"/>
  <c r="AP5" i="3"/>
  <c r="AP10" i="3"/>
  <c r="AQ30" i="3"/>
  <c r="A88" i="24" l="1"/>
  <c r="A686" i="13"/>
  <c r="AV5" i="1"/>
  <c r="AO7" i="14"/>
  <c r="AS5" i="8"/>
  <c r="AT5" i="8" s="1"/>
  <c r="AQ7" i="14" s="1"/>
  <c r="F25" i="14"/>
  <c r="BJ16" i="14"/>
  <c r="BL16" i="14"/>
  <c r="BG16" i="14"/>
  <c r="BF16" i="14"/>
  <c r="BK16" i="14"/>
  <c r="BI16" i="14"/>
  <c r="BE16" i="14"/>
  <c r="BM16" i="14"/>
  <c r="BN16" i="14"/>
  <c r="BH16" i="14"/>
  <c r="BJ7" i="14"/>
  <c r="BG7" i="14"/>
  <c r="BI7" i="14"/>
  <c r="BM7" i="14"/>
  <c r="BL7" i="14"/>
  <c r="BH7" i="14"/>
  <c r="BF7" i="14"/>
  <c r="BN7" i="14"/>
  <c r="BK7" i="14"/>
  <c r="BJ24" i="14"/>
  <c r="BG24" i="14"/>
  <c r="BF24" i="14"/>
  <c r="BK24" i="14"/>
  <c r="BN24" i="14"/>
  <c r="BI24" i="14"/>
  <c r="BE24" i="14"/>
  <c r="BM24" i="14"/>
  <c r="BH24" i="14"/>
  <c r="BL24" i="14"/>
  <c r="BJ23" i="14"/>
  <c r="BI23" i="14"/>
  <c r="BM23" i="14"/>
  <c r="BL23" i="14"/>
  <c r="BH23" i="14"/>
  <c r="BF23" i="14"/>
  <c r="BN23" i="14"/>
  <c r="BE23" i="14"/>
  <c r="BG23" i="14"/>
  <c r="BK23" i="14"/>
  <c r="BG10" i="14"/>
  <c r="BL10" i="14"/>
  <c r="BI10" i="14"/>
  <c r="BM10" i="14"/>
  <c r="BE10" i="14"/>
  <c r="BH10" i="14"/>
  <c r="BN10" i="14"/>
  <c r="BK10" i="14"/>
  <c r="BJ10" i="14"/>
  <c r="BF10" i="14"/>
  <c r="BE21" i="14"/>
  <c r="BL21" i="14"/>
  <c r="BM21" i="14"/>
  <c r="BH21" i="14"/>
  <c r="BJ21" i="14"/>
  <c r="BF21" i="14"/>
  <c r="BN21" i="14"/>
  <c r="BK21" i="14"/>
  <c r="BG21" i="14"/>
  <c r="BI21" i="14"/>
  <c r="BI18" i="14"/>
  <c r="BH18" i="14"/>
  <c r="BK18" i="14"/>
  <c r="BN18" i="14"/>
  <c r="BE18" i="14"/>
  <c r="BF18" i="14"/>
  <c r="BJ18" i="14"/>
  <c r="BG18" i="14"/>
  <c r="BL18" i="14"/>
  <c r="BM18" i="14"/>
  <c r="BH22" i="14"/>
  <c r="BF22" i="14"/>
  <c r="BN22" i="14"/>
  <c r="BJ22" i="14"/>
  <c r="BM22" i="14"/>
  <c r="BE22" i="14"/>
  <c r="BG22" i="14"/>
  <c r="BI22" i="14"/>
  <c r="BK22" i="14"/>
  <c r="BL22" i="14"/>
  <c r="BL12" i="14"/>
  <c r="BM12" i="14"/>
  <c r="BI12" i="14"/>
  <c r="BK12" i="14"/>
  <c r="BE12" i="14"/>
  <c r="BH12" i="14"/>
  <c r="BJ12" i="14"/>
  <c r="BG12" i="14"/>
  <c r="BF12" i="14"/>
  <c r="BN12" i="14"/>
  <c r="BH11" i="14"/>
  <c r="BL11" i="14"/>
  <c r="BF11" i="14"/>
  <c r="BN11" i="14"/>
  <c r="BG11" i="14"/>
  <c r="BK11" i="14"/>
  <c r="BI11" i="14"/>
  <c r="BM11" i="14"/>
  <c r="BJ11" i="14"/>
  <c r="BE11" i="14"/>
  <c r="AU7" i="1"/>
  <c r="AQ51" i="3"/>
  <c r="AN8" i="14"/>
  <c r="AQ19" i="3"/>
  <c r="AQ20" i="3"/>
  <c r="AQ21" i="3"/>
  <c r="AQ22" i="3"/>
  <c r="AQ23" i="3"/>
  <c r="AQ24" i="3"/>
  <c r="AQ25" i="3"/>
  <c r="AQ26" i="3"/>
  <c r="AR49" i="3"/>
  <c r="AR55" i="3"/>
  <c r="AQ49" i="3"/>
  <c r="AQ55" i="3"/>
  <c r="AU3" i="1"/>
  <c r="AN6" i="14"/>
  <c r="AV13" i="1"/>
  <c r="AS9" i="8"/>
  <c r="AO11" i="14"/>
  <c r="AS6" i="8"/>
  <c r="AO3" i="8"/>
  <c r="AO3" i="3"/>
  <c r="AV7" i="1"/>
  <c r="AO8" i="14"/>
  <c r="AP52" i="3"/>
  <c r="AM9" i="14"/>
  <c r="AT9" i="1"/>
  <c r="AQ7" i="8"/>
  <c r="AO10" i="14"/>
  <c r="AV11" i="1"/>
  <c r="AS8" i="8"/>
  <c r="AX25" i="1"/>
  <c r="BQ25" i="1" s="1"/>
  <c r="AX41" i="1"/>
  <c r="BL41" i="1" s="1"/>
  <c r="AU23" i="8"/>
  <c r="AU16" i="8"/>
  <c r="AR18" i="14" s="1"/>
  <c r="AU20" i="8"/>
  <c r="AU22" i="8"/>
  <c r="AU14" i="8"/>
  <c r="AR16" i="14" s="1"/>
  <c r="AU15" i="8"/>
  <c r="AR17" i="14" s="1"/>
  <c r="BG27" i="3"/>
  <c r="BD7" i="14" s="1"/>
  <c r="AU21" i="8"/>
  <c r="AU19" i="8"/>
  <c r="AV26" i="8"/>
  <c r="AU10" i="8"/>
  <c r="AR12" i="14" s="1"/>
  <c r="AT13" i="8"/>
  <c r="AQ15" i="14" s="1"/>
  <c r="AP3" i="8"/>
  <c r="BO39" i="3"/>
  <c r="BO27" i="3"/>
  <c r="BD15" i="14" s="1"/>
  <c r="BH39" i="3"/>
  <c r="BH27" i="3"/>
  <c r="BD8" i="14" s="1"/>
  <c r="AQ8" i="3"/>
  <c r="AQ35" i="3"/>
  <c r="AQ43" i="3"/>
  <c r="AK5" i="12" s="1"/>
  <c r="AX23" i="1"/>
  <c r="BA23" i="1"/>
  <c r="AX39" i="1"/>
  <c r="BA39" i="1"/>
  <c r="AS17" i="8"/>
  <c r="BN17" i="8" s="1"/>
  <c r="AO19" i="14"/>
  <c r="AV29" i="1"/>
  <c r="AS18" i="8"/>
  <c r="BN18" i="8" s="1"/>
  <c r="AO20" i="14"/>
  <c r="AV31" i="1"/>
  <c r="AX15" i="1"/>
  <c r="BA15" i="1"/>
  <c r="AX27" i="1"/>
  <c r="BA27" i="1"/>
  <c r="AS12" i="8"/>
  <c r="BN12" i="8" s="1"/>
  <c r="AO14" i="14"/>
  <c r="AV19" i="1"/>
  <c r="AS4" i="8"/>
  <c r="BN4" i="8" s="1"/>
  <c r="AO6" i="14"/>
  <c r="AV3" i="1"/>
  <c r="AX35" i="1"/>
  <c r="BA35" i="1"/>
  <c r="AS11" i="8"/>
  <c r="BN11" i="8" s="1"/>
  <c r="AO13" i="14"/>
  <c r="AV17" i="1"/>
  <c r="AX33" i="1"/>
  <c r="BA33" i="1"/>
  <c r="AX37" i="1"/>
  <c r="BA37" i="1"/>
  <c r="AP15" i="14"/>
  <c r="AW21" i="1"/>
  <c r="AJ13" i="12"/>
  <c r="AJ11" i="12"/>
  <c r="AJ15" i="12"/>
  <c r="AI23" i="12"/>
  <c r="AI21" i="12"/>
  <c r="AJ25" i="12"/>
  <c r="AQ36" i="3"/>
  <c r="AQ37" i="3"/>
  <c r="AI13" i="12"/>
  <c r="AI11" i="12"/>
  <c r="AJ23" i="12"/>
  <c r="AJ21" i="12"/>
  <c r="AJ5" i="12"/>
  <c r="AQ44" i="3"/>
  <c r="AQ46" i="3"/>
  <c r="AQ15" i="3"/>
  <c r="AQ16" i="3"/>
  <c r="AQ47" i="3"/>
  <c r="AK25" i="12" s="1"/>
  <c r="AQ18" i="3"/>
  <c r="AQ34" i="3"/>
  <c r="AQ38" i="3"/>
  <c r="AQ17" i="3"/>
  <c r="AQ45" i="3"/>
  <c r="AK15" i="12" s="1"/>
  <c r="AQ9" i="3"/>
  <c r="AQ13" i="3"/>
  <c r="AQ14" i="3"/>
  <c r="AQ4" i="3"/>
  <c r="AQ3" i="3" s="1"/>
  <c r="AQ7" i="3"/>
  <c r="AQ10" i="3"/>
  <c r="AQ6" i="3"/>
  <c r="AQ12" i="3"/>
  <c r="AQ11" i="3"/>
  <c r="AQ5" i="3"/>
  <c r="AS30" i="3"/>
  <c r="AR30" i="3"/>
  <c r="A89" i="24" l="1"/>
  <c r="A687" i="13"/>
  <c r="AW5" i="1"/>
  <c r="BA5" i="1" s="1"/>
  <c r="BN5" i="8"/>
  <c r="L263" i="13" s="1"/>
  <c r="AS50" i="3"/>
  <c r="AP7" i="14"/>
  <c r="L602" i="13"/>
  <c r="L604" i="13"/>
  <c r="L262" i="13"/>
  <c r="L302" i="13"/>
  <c r="L342" i="13"/>
  <c r="L382" i="13"/>
  <c r="L422" i="13"/>
  <c r="L462" i="13"/>
  <c r="L502" i="13"/>
  <c r="L542" i="13"/>
  <c r="L582" i="13"/>
  <c r="L242" i="13"/>
  <c r="L282" i="13"/>
  <c r="L322" i="13"/>
  <c r="L362" i="13"/>
  <c r="L402" i="13"/>
  <c r="L442" i="13"/>
  <c r="L482" i="13"/>
  <c r="L522" i="13"/>
  <c r="L562" i="13"/>
  <c r="L226" i="13"/>
  <c r="L234" i="13"/>
  <c r="L231" i="13"/>
  <c r="L227" i="13"/>
  <c r="L235" i="13"/>
  <c r="L239" i="13"/>
  <c r="L228" i="13"/>
  <c r="L236" i="13"/>
  <c r="L229" i="13"/>
  <c r="L237" i="13"/>
  <c r="L222" i="13"/>
  <c r="L230" i="13"/>
  <c r="L238" i="13"/>
  <c r="L232" i="13"/>
  <c r="L240" i="13"/>
  <c r="L225" i="13"/>
  <c r="L233" i="13"/>
  <c r="L241" i="13"/>
  <c r="L202" i="13"/>
  <c r="L210" i="13"/>
  <c r="L218" i="13"/>
  <c r="L211" i="13"/>
  <c r="L219" i="13"/>
  <c r="L212" i="13"/>
  <c r="L220" i="13"/>
  <c r="L205" i="13"/>
  <c r="L213" i="13"/>
  <c r="L221" i="13"/>
  <c r="L215" i="13"/>
  <c r="L206" i="13"/>
  <c r="L214" i="13"/>
  <c r="L207" i="13"/>
  <c r="L208" i="13"/>
  <c r="L216" i="13"/>
  <c r="L209" i="13"/>
  <c r="L217" i="13"/>
  <c r="L2" i="13"/>
  <c r="L3" i="13"/>
  <c r="L11" i="13"/>
  <c r="L4" i="13"/>
  <c r="L5" i="13"/>
  <c r="L6" i="13"/>
  <c r="L7" i="13"/>
  <c r="L8" i="13"/>
  <c r="L9" i="13"/>
  <c r="L10" i="13"/>
  <c r="AS51" i="3"/>
  <c r="BN6" i="8"/>
  <c r="L204" i="13" s="1"/>
  <c r="AS54" i="3"/>
  <c r="BN9" i="8"/>
  <c r="AT50" i="3"/>
  <c r="AS53" i="3"/>
  <c r="BN8" i="8"/>
  <c r="AU13" i="8"/>
  <c r="F7" i="14"/>
  <c r="BI15" i="14"/>
  <c r="BH15" i="14"/>
  <c r="BG15" i="14"/>
  <c r="BF15" i="14"/>
  <c r="BM15" i="14"/>
  <c r="BE15" i="14"/>
  <c r="BL15" i="14"/>
  <c r="BK15" i="14"/>
  <c r="BJ15" i="14"/>
  <c r="BN15" i="14"/>
  <c r="BG8" i="14"/>
  <c r="BJ8" i="14"/>
  <c r="BN8" i="14"/>
  <c r="BK8" i="14"/>
  <c r="BL8" i="14"/>
  <c r="BH8" i="14"/>
  <c r="BF8" i="14"/>
  <c r="BI8" i="14"/>
  <c r="BE8" i="14"/>
  <c r="BM8" i="14"/>
  <c r="AU5" i="8"/>
  <c r="AR19" i="3"/>
  <c r="AS19" i="3" s="1"/>
  <c r="AT19" i="3" s="1"/>
  <c r="AU19" i="3" s="1"/>
  <c r="AV19" i="3" s="1"/>
  <c r="AW19" i="3" s="1"/>
  <c r="AX19" i="3" s="1"/>
  <c r="AY19" i="3" s="1"/>
  <c r="AZ19" i="3" s="1"/>
  <c r="BA19" i="3" s="1"/>
  <c r="BB19" i="3" s="1"/>
  <c r="BC19" i="3" s="1"/>
  <c r="BD19" i="3" s="1"/>
  <c r="BE19" i="3" s="1"/>
  <c r="AR20" i="3"/>
  <c r="AS20" i="3" s="1"/>
  <c r="AT20" i="3" s="1"/>
  <c r="AU20" i="3" s="1"/>
  <c r="AV20" i="3" s="1"/>
  <c r="AW20" i="3" s="1"/>
  <c r="AX20" i="3" s="1"/>
  <c r="AY20" i="3" s="1"/>
  <c r="AZ20" i="3" s="1"/>
  <c r="BA20" i="3" s="1"/>
  <c r="BB20" i="3" s="1"/>
  <c r="BC20" i="3" s="1"/>
  <c r="BD20" i="3" s="1"/>
  <c r="BE20" i="3" s="1"/>
  <c r="AR21" i="3"/>
  <c r="AS21" i="3" s="1"/>
  <c r="AT21" i="3" s="1"/>
  <c r="AU21" i="3" s="1"/>
  <c r="AV21" i="3" s="1"/>
  <c r="AW21" i="3" s="1"/>
  <c r="AX21" i="3" s="1"/>
  <c r="AY21" i="3" s="1"/>
  <c r="AZ21" i="3" s="1"/>
  <c r="BA21" i="3" s="1"/>
  <c r="BB21" i="3" s="1"/>
  <c r="BC21" i="3" s="1"/>
  <c r="BD21" i="3" s="1"/>
  <c r="BE21" i="3" s="1"/>
  <c r="AR22" i="3"/>
  <c r="AS22" i="3" s="1"/>
  <c r="AT22" i="3" s="1"/>
  <c r="AU22" i="3" s="1"/>
  <c r="AV22" i="3" s="1"/>
  <c r="AW22" i="3" s="1"/>
  <c r="AX22" i="3" s="1"/>
  <c r="AY22" i="3" s="1"/>
  <c r="AZ22" i="3" s="1"/>
  <c r="BA22" i="3" s="1"/>
  <c r="BB22" i="3" s="1"/>
  <c r="BC22" i="3" s="1"/>
  <c r="BD22" i="3" s="1"/>
  <c r="BE22" i="3" s="1"/>
  <c r="AR23" i="3"/>
  <c r="AS23" i="3" s="1"/>
  <c r="AT23" i="3" s="1"/>
  <c r="AU23" i="3" s="1"/>
  <c r="AV23" i="3" s="1"/>
  <c r="AW23" i="3" s="1"/>
  <c r="AX23" i="3" s="1"/>
  <c r="AY23" i="3" s="1"/>
  <c r="AZ23" i="3" s="1"/>
  <c r="BA23" i="3" s="1"/>
  <c r="BB23" i="3" s="1"/>
  <c r="BC23" i="3" s="1"/>
  <c r="BD23" i="3" s="1"/>
  <c r="BE23" i="3" s="1"/>
  <c r="AR24" i="3"/>
  <c r="AS24" i="3" s="1"/>
  <c r="AT24" i="3" s="1"/>
  <c r="AU24" i="3" s="1"/>
  <c r="AV24" i="3" s="1"/>
  <c r="AW24" i="3" s="1"/>
  <c r="AX24" i="3" s="1"/>
  <c r="AY24" i="3" s="1"/>
  <c r="AZ24" i="3" s="1"/>
  <c r="BA24" i="3" s="1"/>
  <c r="BB24" i="3" s="1"/>
  <c r="BC24" i="3" s="1"/>
  <c r="BD24" i="3" s="1"/>
  <c r="BE24" i="3" s="1"/>
  <c r="AR25" i="3"/>
  <c r="AS25" i="3" s="1"/>
  <c r="AT25" i="3" s="1"/>
  <c r="AU25" i="3" s="1"/>
  <c r="AV25" i="3" s="1"/>
  <c r="AW25" i="3" s="1"/>
  <c r="AX25" i="3" s="1"/>
  <c r="AY25" i="3" s="1"/>
  <c r="AZ25" i="3" s="1"/>
  <c r="BA25" i="3" s="1"/>
  <c r="BB25" i="3" s="1"/>
  <c r="BC25" i="3" s="1"/>
  <c r="BD25" i="3" s="1"/>
  <c r="BE25" i="3" s="1"/>
  <c r="AR26" i="3"/>
  <c r="AS26" i="3" s="1"/>
  <c r="AT26" i="3" s="1"/>
  <c r="AU26" i="3" s="1"/>
  <c r="AV26" i="3" s="1"/>
  <c r="AW26" i="3" s="1"/>
  <c r="AX26" i="3" s="1"/>
  <c r="AY26" i="3" s="1"/>
  <c r="AZ26" i="3" s="1"/>
  <c r="BA26" i="3" s="1"/>
  <c r="BB26" i="3" s="1"/>
  <c r="BC26" i="3" s="1"/>
  <c r="BD26" i="3" s="1"/>
  <c r="BE26" i="3" s="1"/>
  <c r="AS49" i="3"/>
  <c r="AS55" i="3"/>
  <c r="AP11" i="14"/>
  <c r="AT9" i="8"/>
  <c r="AQ11" i="14" s="1"/>
  <c r="AW13" i="1"/>
  <c r="AX13" i="1" s="1"/>
  <c r="AT6" i="8"/>
  <c r="AQ8" i="14" s="1"/>
  <c r="AP8" i="14"/>
  <c r="AW7" i="1"/>
  <c r="AX7" i="1" s="1"/>
  <c r="AQ52" i="3"/>
  <c r="AN9" i="14"/>
  <c r="AU9" i="1"/>
  <c r="AR7" i="8"/>
  <c r="AT8" i="8"/>
  <c r="AQ10" i="14" s="1"/>
  <c r="AP10" i="14"/>
  <c r="AW11" i="1"/>
  <c r="BB25" i="1"/>
  <c r="BR25" i="1"/>
  <c r="BL25" i="1"/>
  <c r="BK25" i="1"/>
  <c r="BY25" i="1"/>
  <c r="BU25" i="1"/>
  <c r="BF25" i="1"/>
  <c r="BI25" i="1"/>
  <c r="BV25" i="1"/>
  <c r="BW25" i="1"/>
  <c r="BG25" i="1"/>
  <c r="BP25" i="1"/>
  <c r="BJ25" i="1"/>
  <c r="BT25" i="1"/>
  <c r="BO25" i="1"/>
  <c r="BC25" i="1"/>
  <c r="BM25" i="1"/>
  <c r="BH25" i="1"/>
  <c r="BS25" i="1"/>
  <c r="BN25" i="1"/>
  <c r="BX25" i="1"/>
  <c r="BD25" i="1"/>
  <c r="BE25" i="1"/>
  <c r="BT41" i="1"/>
  <c r="BO41" i="1"/>
  <c r="BW41" i="1"/>
  <c r="BJ41" i="1"/>
  <c r="BM41" i="1"/>
  <c r="BH41" i="1"/>
  <c r="BR41" i="1"/>
  <c r="BU41" i="1"/>
  <c r="BP41" i="1"/>
  <c r="BF41" i="1"/>
  <c r="BX41" i="1"/>
  <c r="BK41" i="1"/>
  <c r="BV41" i="1"/>
  <c r="BQ41" i="1"/>
  <c r="BE41" i="1"/>
  <c r="BN41" i="1"/>
  <c r="BI41" i="1"/>
  <c r="BS41" i="1"/>
  <c r="BG41" i="1"/>
  <c r="BY41" i="1"/>
  <c r="AV22" i="8"/>
  <c r="AV14" i="8"/>
  <c r="AS16" i="14" s="1"/>
  <c r="AV16" i="8"/>
  <c r="AS18" i="14" s="1"/>
  <c r="AV19" i="8"/>
  <c r="AV10" i="8"/>
  <c r="AS12" i="14" s="1"/>
  <c r="AV21" i="8"/>
  <c r="AT18" i="8"/>
  <c r="AQ20" i="14" s="1"/>
  <c r="AW26" i="8"/>
  <c r="AT12" i="8"/>
  <c r="AQ14" i="14" s="1"/>
  <c r="BF48" i="3"/>
  <c r="BF27" i="3" s="1"/>
  <c r="BD6" i="14" s="1"/>
  <c r="AT4" i="8"/>
  <c r="AQ6" i="14" s="1"/>
  <c r="AV20" i="8"/>
  <c r="AT17" i="8"/>
  <c r="AQ19" i="14" s="1"/>
  <c r="AT11" i="8"/>
  <c r="AQ13" i="14" s="1"/>
  <c r="AV15" i="8"/>
  <c r="AS17" i="14" s="1"/>
  <c r="AV23" i="8"/>
  <c r="AR43" i="3"/>
  <c r="AL5" i="12" s="1"/>
  <c r="BQ15" i="1"/>
  <c r="BX15" i="1"/>
  <c r="BP15" i="1"/>
  <c r="BH15" i="1"/>
  <c r="BG15" i="1"/>
  <c r="BW15" i="1"/>
  <c r="BO15" i="1"/>
  <c r="BV15" i="1"/>
  <c r="BN15" i="1"/>
  <c r="BF15" i="1"/>
  <c r="BE15" i="1"/>
  <c r="BU15" i="1"/>
  <c r="BM15" i="1"/>
  <c r="BT15" i="1"/>
  <c r="BL15" i="1"/>
  <c r="BD15" i="1"/>
  <c r="BY15" i="1"/>
  <c r="BI15" i="1"/>
  <c r="BS15" i="1"/>
  <c r="BK15" i="1"/>
  <c r="BC15" i="1"/>
  <c r="BR15" i="1"/>
  <c r="BJ15" i="1"/>
  <c r="BB15" i="1"/>
  <c r="BT39" i="1"/>
  <c r="BI39" i="1"/>
  <c r="BS39" i="1"/>
  <c r="BH39" i="1"/>
  <c r="BR39" i="1"/>
  <c r="BG39" i="1"/>
  <c r="BY39" i="1"/>
  <c r="BQ39" i="1"/>
  <c r="BF39" i="1"/>
  <c r="BX39" i="1"/>
  <c r="BP39" i="1"/>
  <c r="BE39" i="1"/>
  <c r="BW39" i="1"/>
  <c r="BO39" i="1"/>
  <c r="BV39" i="1"/>
  <c r="BN39" i="1"/>
  <c r="BU39" i="1"/>
  <c r="BJ39" i="1"/>
  <c r="BL39" i="1"/>
  <c r="BM39" i="1"/>
  <c r="BK39" i="1"/>
  <c r="BY35" i="1"/>
  <c r="BQ35" i="1"/>
  <c r="BI35" i="1"/>
  <c r="BX35" i="1"/>
  <c r="BP35" i="1"/>
  <c r="BH35" i="1"/>
  <c r="BW35" i="1"/>
  <c r="BO35" i="1"/>
  <c r="BG35" i="1"/>
  <c r="BV35" i="1"/>
  <c r="BN35" i="1"/>
  <c r="BF35" i="1"/>
  <c r="BU35" i="1"/>
  <c r="BM35" i="1"/>
  <c r="BE35" i="1"/>
  <c r="BT35" i="1"/>
  <c r="BL35" i="1"/>
  <c r="BD35" i="1"/>
  <c r="BS35" i="1"/>
  <c r="BK35" i="1"/>
  <c r="BC35" i="1"/>
  <c r="BR35" i="1"/>
  <c r="BJ35" i="1"/>
  <c r="BB35" i="1"/>
  <c r="BY37" i="1"/>
  <c r="BQ37" i="1"/>
  <c r="BI37" i="1"/>
  <c r="BX37" i="1"/>
  <c r="BP37" i="1"/>
  <c r="BH37" i="1"/>
  <c r="BW37" i="1"/>
  <c r="BO37" i="1"/>
  <c r="BG37" i="1"/>
  <c r="BV37" i="1"/>
  <c r="BN37" i="1"/>
  <c r="BF37" i="1"/>
  <c r="BU37" i="1"/>
  <c r="BM37" i="1"/>
  <c r="BE37" i="1"/>
  <c r="BT37" i="1"/>
  <c r="BL37" i="1"/>
  <c r="BD37" i="1"/>
  <c r="BS37" i="1"/>
  <c r="BK37" i="1"/>
  <c r="BC37" i="1"/>
  <c r="BR37" i="1"/>
  <c r="BJ37" i="1"/>
  <c r="BB37" i="1"/>
  <c r="BY23" i="1"/>
  <c r="BQ23" i="1"/>
  <c r="BI23" i="1"/>
  <c r="BX23" i="1"/>
  <c r="BP23" i="1"/>
  <c r="BH23" i="1"/>
  <c r="BW23" i="1"/>
  <c r="BO23" i="1"/>
  <c r="BG23" i="1"/>
  <c r="BV23" i="1"/>
  <c r="BN23" i="1"/>
  <c r="BF23" i="1"/>
  <c r="BU23" i="1"/>
  <c r="BM23" i="1"/>
  <c r="BE23" i="1"/>
  <c r="BT23" i="1"/>
  <c r="BL23" i="1"/>
  <c r="BD23" i="1"/>
  <c r="BS23" i="1"/>
  <c r="BK23" i="1"/>
  <c r="BC23" i="1"/>
  <c r="BR23" i="1"/>
  <c r="BJ23" i="1"/>
  <c r="BB23" i="1"/>
  <c r="BY33" i="1"/>
  <c r="BQ33" i="1"/>
  <c r="BI33" i="1"/>
  <c r="BX33" i="1"/>
  <c r="BP33" i="1"/>
  <c r="BH33" i="1"/>
  <c r="BW33" i="1"/>
  <c r="BO33" i="1"/>
  <c r="BG33" i="1"/>
  <c r="BV33" i="1"/>
  <c r="BN33" i="1"/>
  <c r="BF33" i="1"/>
  <c r="BU33" i="1"/>
  <c r="BM33" i="1"/>
  <c r="BE33" i="1"/>
  <c r="BT33" i="1"/>
  <c r="BL33" i="1"/>
  <c r="BD33" i="1"/>
  <c r="BS33" i="1"/>
  <c r="BK33" i="1"/>
  <c r="BC33" i="1"/>
  <c r="BR33" i="1"/>
  <c r="BJ33" i="1"/>
  <c r="BB33" i="1"/>
  <c r="BY27" i="1"/>
  <c r="BI27" i="1"/>
  <c r="BX27" i="1"/>
  <c r="BP27" i="1"/>
  <c r="BH27" i="1"/>
  <c r="BW27" i="1"/>
  <c r="BO27" i="1"/>
  <c r="BG27" i="1"/>
  <c r="BV27" i="1"/>
  <c r="BN27" i="1"/>
  <c r="BF27" i="1"/>
  <c r="BU27" i="1"/>
  <c r="BM27" i="1"/>
  <c r="BE27" i="1"/>
  <c r="BT27" i="1"/>
  <c r="BL27" i="1"/>
  <c r="BD27" i="1"/>
  <c r="BS27" i="1"/>
  <c r="BK27" i="1"/>
  <c r="BC27" i="1"/>
  <c r="BR27" i="1"/>
  <c r="BJ27" i="1"/>
  <c r="BB27" i="1"/>
  <c r="BQ27" i="1"/>
  <c r="AQ3" i="8"/>
  <c r="BI27" i="3"/>
  <c r="BD9" i="14" s="1"/>
  <c r="BI39" i="3"/>
  <c r="BM27" i="3"/>
  <c r="BD13" i="14" s="1"/>
  <c r="BM39" i="3"/>
  <c r="BT27" i="3"/>
  <c r="BD20" i="14" s="1"/>
  <c r="BT39" i="3"/>
  <c r="BN39" i="3"/>
  <c r="BN27" i="3"/>
  <c r="BD14" i="14" s="1"/>
  <c r="BS27" i="3"/>
  <c r="BD19" i="14" s="1"/>
  <c r="BS39" i="3"/>
  <c r="AR15" i="3"/>
  <c r="AS15" i="3" s="1"/>
  <c r="AT15" i="3" s="1"/>
  <c r="AU15" i="3" s="1"/>
  <c r="AV15" i="3" s="1"/>
  <c r="AW15" i="3" s="1"/>
  <c r="AX15" i="3" s="1"/>
  <c r="AY15" i="3" s="1"/>
  <c r="AZ15" i="3" s="1"/>
  <c r="BA15" i="3" s="1"/>
  <c r="BB15" i="3" s="1"/>
  <c r="BC15" i="3" s="1"/>
  <c r="BD15" i="3" s="1"/>
  <c r="BE15" i="3" s="1"/>
  <c r="AP14" i="14"/>
  <c r="AW19" i="1"/>
  <c r="AP19" i="14"/>
  <c r="AW29" i="1"/>
  <c r="AP6" i="14"/>
  <c r="AW3" i="1"/>
  <c r="AX3" i="1" s="1"/>
  <c r="AX21" i="1"/>
  <c r="BA21" i="1"/>
  <c r="AP13" i="14"/>
  <c r="AW17" i="1"/>
  <c r="AP20" i="14"/>
  <c r="AW31" i="1"/>
  <c r="AR6" i="3"/>
  <c r="AK18" i="12"/>
  <c r="AK16" i="12"/>
  <c r="AJ18" i="12"/>
  <c r="AJ16" i="12"/>
  <c r="AK10" i="12"/>
  <c r="AR16" i="3"/>
  <c r="AS16" i="3" s="1"/>
  <c r="AT16" i="3" s="1"/>
  <c r="AU16" i="3" s="1"/>
  <c r="AV16" i="3" s="1"/>
  <c r="AW16" i="3" s="1"/>
  <c r="AX16" i="3" s="1"/>
  <c r="AY16" i="3" s="1"/>
  <c r="AZ16" i="3" s="1"/>
  <c r="BA16" i="3" s="1"/>
  <c r="BB16" i="3" s="1"/>
  <c r="BC16" i="3" s="1"/>
  <c r="BD16" i="3" s="1"/>
  <c r="BE16" i="3" s="1"/>
  <c r="AJ8" i="12"/>
  <c r="AJ6" i="12"/>
  <c r="AJ28" i="12"/>
  <c r="AJ26" i="12"/>
  <c r="AK20" i="12"/>
  <c r="AK28" i="12"/>
  <c r="AK26" i="12"/>
  <c r="AR35" i="3"/>
  <c r="AS35" i="3" s="1"/>
  <c r="AT35" i="3" s="1"/>
  <c r="AK8" i="12"/>
  <c r="AK6" i="12"/>
  <c r="AR47" i="3"/>
  <c r="AL25" i="12" s="1"/>
  <c r="AR45" i="3"/>
  <c r="AL15" i="12" s="1"/>
  <c r="AR34" i="3"/>
  <c r="AR17" i="3"/>
  <c r="AR12" i="3"/>
  <c r="AR37" i="3"/>
  <c r="AR8" i="3"/>
  <c r="AR44" i="3"/>
  <c r="AL10" i="12" s="1"/>
  <c r="AR18" i="3"/>
  <c r="AR46" i="3"/>
  <c r="AL20" i="12" s="1"/>
  <c r="AR36" i="3"/>
  <c r="AR38" i="3"/>
  <c r="AR5" i="3"/>
  <c r="AR10" i="3"/>
  <c r="AR7" i="3"/>
  <c r="AR4" i="3"/>
  <c r="AS4" i="3" s="1"/>
  <c r="AT4" i="3" s="1"/>
  <c r="AT3" i="8" s="1"/>
  <c r="AR14" i="3"/>
  <c r="AR13" i="3"/>
  <c r="AR9" i="3"/>
  <c r="AR11" i="3"/>
  <c r="L20" i="13" l="1"/>
  <c r="L12" i="13"/>
  <c r="L17" i="13"/>
  <c r="L15" i="13"/>
  <c r="L21" i="13"/>
  <c r="L224" i="13"/>
  <c r="L304" i="13"/>
  <c r="L344" i="13"/>
  <c r="L564" i="13"/>
  <c r="L384" i="13"/>
  <c r="L424" i="13"/>
  <c r="L28" i="13"/>
  <c r="L31" i="13"/>
  <c r="L464" i="13"/>
  <c r="L504" i="13"/>
  <c r="L27" i="13"/>
  <c r="L264" i="13"/>
  <c r="L524" i="13"/>
  <c r="L544" i="13"/>
  <c r="L23" i="13"/>
  <c r="L244" i="13"/>
  <c r="L29" i="13"/>
  <c r="L324" i="13"/>
  <c r="L284" i="13"/>
  <c r="L25" i="13"/>
  <c r="L584" i="13"/>
  <c r="L24" i="13"/>
  <c r="L404" i="13"/>
  <c r="L364" i="13"/>
  <c r="L26" i="13"/>
  <c r="L22" i="13"/>
  <c r="L484" i="13"/>
  <c r="L444" i="13"/>
  <c r="L30" i="13"/>
  <c r="F8" i="14"/>
  <c r="L463" i="13"/>
  <c r="L423" i="13"/>
  <c r="AU50" i="3"/>
  <c r="AR7" i="14"/>
  <c r="AV13" i="8"/>
  <c r="AS15" i="14" s="1"/>
  <c r="AR15" i="14"/>
  <c r="A90" i="24"/>
  <c r="A688" i="13"/>
  <c r="L19" i="13"/>
  <c r="L223" i="13"/>
  <c r="L203" i="13"/>
  <c r="L16" i="13"/>
  <c r="L523" i="13"/>
  <c r="L443" i="13"/>
  <c r="L403" i="13"/>
  <c r="L363" i="13"/>
  <c r="L323" i="13"/>
  <c r="AX5" i="1"/>
  <c r="BI5" i="1" s="1"/>
  <c r="L543" i="13"/>
  <c r="L14" i="13"/>
  <c r="L283" i="13"/>
  <c r="L605" i="13"/>
  <c r="L18" i="13"/>
  <c r="L563" i="13"/>
  <c r="L243" i="13"/>
  <c r="L603" i="13"/>
  <c r="L13" i="13"/>
  <c r="L483" i="13"/>
  <c r="L503" i="13"/>
  <c r="L383" i="13"/>
  <c r="L343" i="13"/>
  <c r="L303" i="13"/>
  <c r="L583" i="13"/>
  <c r="AT54" i="3"/>
  <c r="AU12" i="8"/>
  <c r="AU18" i="8"/>
  <c r="AU11" i="8"/>
  <c r="AU17" i="8"/>
  <c r="AT51" i="3"/>
  <c r="AT55" i="3"/>
  <c r="BI14" i="14"/>
  <c r="BK14" i="14"/>
  <c r="BN14" i="14"/>
  <c r="BF14" i="14"/>
  <c r="BJ14" i="14"/>
  <c r="BL14" i="14"/>
  <c r="BM14" i="14"/>
  <c r="BG14" i="14"/>
  <c r="BE14" i="14"/>
  <c r="BH14" i="14"/>
  <c r="BI20" i="14"/>
  <c r="BK20" i="14"/>
  <c r="BN20" i="14"/>
  <c r="BE20" i="14"/>
  <c r="BJ20" i="14"/>
  <c r="BG20" i="14"/>
  <c r="BL20" i="14"/>
  <c r="BH20" i="14"/>
  <c r="BF20" i="14"/>
  <c r="BM20" i="14"/>
  <c r="BE13" i="14"/>
  <c r="BL13" i="14"/>
  <c r="BI13" i="14"/>
  <c r="BH13" i="14"/>
  <c r="BJ13" i="14"/>
  <c r="BN13" i="14"/>
  <c r="BM13" i="14"/>
  <c r="BG13" i="14"/>
  <c r="BF13" i="14"/>
  <c r="BK13" i="14"/>
  <c r="BL19" i="14"/>
  <c r="BF19" i="14"/>
  <c r="BN19" i="14"/>
  <c r="BG19" i="14"/>
  <c r="BI19" i="14"/>
  <c r="BH19" i="14"/>
  <c r="BK19" i="14"/>
  <c r="BE19" i="14"/>
  <c r="BJ19" i="14"/>
  <c r="BM19" i="14"/>
  <c r="BF9" i="14"/>
  <c r="BJ9" i="14"/>
  <c r="BG9" i="14"/>
  <c r="BN9" i="14"/>
  <c r="BM9" i="14"/>
  <c r="BL9" i="14"/>
  <c r="BI9" i="14"/>
  <c r="BH9" i="14"/>
  <c r="BK9" i="14"/>
  <c r="BE9" i="14"/>
  <c r="AV5" i="8"/>
  <c r="AS7" i="14" s="1"/>
  <c r="BA13" i="1"/>
  <c r="BM13" i="1" s="1"/>
  <c r="BX13" i="1"/>
  <c r="BI13" i="1"/>
  <c r="BR13" i="1"/>
  <c r="BQ13" i="1"/>
  <c r="BW13" i="1"/>
  <c r="BE13" i="1"/>
  <c r="AU9" i="8"/>
  <c r="BL13" i="1"/>
  <c r="BT13" i="1"/>
  <c r="BO13" i="1"/>
  <c r="BU13" i="1"/>
  <c r="BH13" i="1"/>
  <c r="BK13" i="1"/>
  <c r="BF13" i="1"/>
  <c r="BN13" i="1"/>
  <c r="AU6" i="8"/>
  <c r="BA7" i="1"/>
  <c r="BP7" i="1" s="1"/>
  <c r="AR52" i="3"/>
  <c r="AV9" i="1"/>
  <c r="AS7" i="8"/>
  <c r="BN7" i="8" s="1"/>
  <c r="AO9" i="14"/>
  <c r="AU8" i="8"/>
  <c r="AR10" i="14" s="1"/>
  <c r="AT53" i="3"/>
  <c r="AU4" i="8"/>
  <c r="AR6" i="14" s="1"/>
  <c r="AT49" i="3"/>
  <c r="AX11" i="1"/>
  <c r="BA11" i="1"/>
  <c r="AU35" i="3"/>
  <c r="AV35" i="3" s="1"/>
  <c r="AW35" i="3" s="1"/>
  <c r="AX35" i="3" s="1"/>
  <c r="AY35" i="3" s="1"/>
  <c r="AZ35" i="3" s="1"/>
  <c r="BA35" i="3" s="1"/>
  <c r="BB35" i="3" s="1"/>
  <c r="BC35" i="3" s="1"/>
  <c r="BD35" i="3" s="1"/>
  <c r="BE35" i="3" s="1"/>
  <c r="AW22" i="8"/>
  <c r="AT3" i="3"/>
  <c r="AU4" i="3"/>
  <c r="AU3" i="8" s="1"/>
  <c r="AW23" i="8"/>
  <c r="AW14" i="8"/>
  <c r="AT16" i="14" s="1"/>
  <c r="AS43" i="3"/>
  <c r="AM5" i="12" s="1"/>
  <c r="AM6" i="12" s="1"/>
  <c r="BF39" i="3"/>
  <c r="BE6" i="14" s="1"/>
  <c r="AW10" i="8"/>
  <c r="AT12" i="14" s="1"/>
  <c r="AW15" i="8"/>
  <c r="AT17" i="14" s="1"/>
  <c r="AW20" i="8"/>
  <c r="AW16" i="8"/>
  <c r="AT18" i="14" s="1"/>
  <c r="AX26" i="8"/>
  <c r="AW19" i="8"/>
  <c r="AW21" i="8"/>
  <c r="BX7" i="1"/>
  <c r="BH7" i="1"/>
  <c r="BO7" i="1"/>
  <c r="BW7" i="1"/>
  <c r="BU7" i="1"/>
  <c r="BN7" i="1"/>
  <c r="BF7" i="1"/>
  <c r="BE7" i="1"/>
  <c r="BT7" i="1"/>
  <c r="BL7" i="1"/>
  <c r="BI7" i="1"/>
  <c r="BK7" i="1"/>
  <c r="BR7" i="1"/>
  <c r="BQ7" i="1"/>
  <c r="BY21" i="1"/>
  <c r="BQ21" i="1"/>
  <c r="BI21" i="1"/>
  <c r="BX21" i="1"/>
  <c r="BP21" i="1"/>
  <c r="BH21" i="1"/>
  <c r="BW21" i="1"/>
  <c r="BO21" i="1"/>
  <c r="BG21" i="1"/>
  <c r="BV21" i="1"/>
  <c r="BN21" i="1"/>
  <c r="BF21" i="1"/>
  <c r="BU21" i="1"/>
  <c r="BM21" i="1"/>
  <c r="BE21" i="1"/>
  <c r="BT21" i="1"/>
  <c r="BL21" i="1"/>
  <c r="BD21" i="1"/>
  <c r="BS21" i="1"/>
  <c r="BK21" i="1"/>
  <c r="BC21" i="1"/>
  <c r="BR21" i="1"/>
  <c r="BJ21" i="1"/>
  <c r="BB21" i="1"/>
  <c r="BF3" i="1"/>
  <c r="BR3" i="1"/>
  <c r="BE3" i="1"/>
  <c r="BQ3" i="1"/>
  <c r="BX3" i="1"/>
  <c r="BO3" i="1"/>
  <c r="BW3" i="1"/>
  <c r="BN3" i="1"/>
  <c r="BU3" i="1"/>
  <c r="BI3" i="1"/>
  <c r="BT3" i="1"/>
  <c r="BH3" i="1"/>
  <c r="BL3" i="1"/>
  <c r="BK3" i="1"/>
  <c r="AR3" i="8"/>
  <c r="AR3" i="3"/>
  <c r="D26" i="14"/>
  <c r="U6" i="10"/>
  <c r="AX31" i="1"/>
  <c r="BA31" i="1"/>
  <c r="BA3" i="1"/>
  <c r="BP3" i="1" s="1"/>
  <c r="AX29" i="1"/>
  <c r="BA29" i="1"/>
  <c r="AX19" i="1"/>
  <c r="BA19" i="1"/>
  <c r="AX17" i="1"/>
  <c r="BA17" i="1"/>
  <c r="AS3" i="3"/>
  <c r="AS8" i="3"/>
  <c r="AT8" i="3" s="1"/>
  <c r="AU8" i="3" s="1"/>
  <c r="AV8" i="3" s="1"/>
  <c r="AW8" i="3" s="1"/>
  <c r="AX8" i="3" s="1"/>
  <c r="AY8" i="3" s="1"/>
  <c r="AZ8" i="3" s="1"/>
  <c r="BA8" i="3" s="1"/>
  <c r="BB8" i="3" s="1"/>
  <c r="BC8" i="3" s="1"/>
  <c r="BD8" i="3" s="1"/>
  <c r="BE8" i="3" s="1"/>
  <c r="AL18" i="12"/>
  <c r="AL16" i="12"/>
  <c r="AS7" i="3"/>
  <c r="AT7" i="3" s="1"/>
  <c r="AU7" i="3" s="1"/>
  <c r="AV7" i="3" s="1"/>
  <c r="AW7" i="3" s="1"/>
  <c r="AX7" i="3" s="1"/>
  <c r="AY7" i="3" s="1"/>
  <c r="AZ7" i="3" s="1"/>
  <c r="BA7" i="3" s="1"/>
  <c r="BB7" i="3" s="1"/>
  <c r="BC7" i="3" s="1"/>
  <c r="BD7" i="3" s="1"/>
  <c r="BE7" i="3" s="1"/>
  <c r="AL28" i="12"/>
  <c r="AL26" i="12"/>
  <c r="AK23" i="12"/>
  <c r="AK21" i="12"/>
  <c r="AS5" i="3"/>
  <c r="AT5" i="3" s="1"/>
  <c r="AU5" i="3" s="1"/>
  <c r="AV5" i="3" s="1"/>
  <c r="AW5" i="3" s="1"/>
  <c r="AX5" i="3" s="1"/>
  <c r="AY5" i="3" s="1"/>
  <c r="AZ5" i="3" s="1"/>
  <c r="BA5" i="3" s="1"/>
  <c r="BB5" i="3" s="1"/>
  <c r="BC5" i="3" s="1"/>
  <c r="BD5" i="3" s="1"/>
  <c r="BE5" i="3" s="1"/>
  <c r="AL23" i="12"/>
  <c r="AL21" i="12"/>
  <c r="AK13" i="12"/>
  <c r="AK11" i="12"/>
  <c r="AS6" i="3"/>
  <c r="AT6" i="3" s="1"/>
  <c r="AU6" i="3" s="1"/>
  <c r="AV6" i="3" s="1"/>
  <c r="AW6" i="3" s="1"/>
  <c r="AX6" i="3" s="1"/>
  <c r="AY6" i="3" s="1"/>
  <c r="AZ6" i="3" s="1"/>
  <c r="BA6" i="3" s="1"/>
  <c r="BB6" i="3" s="1"/>
  <c r="BC6" i="3" s="1"/>
  <c r="BD6" i="3" s="1"/>
  <c r="BE6" i="3" s="1"/>
  <c r="AL13" i="12"/>
  <c r="AL11" i="12"/>
  <c r="AL8" i="12"/>
  <c r="AL6" i="12"/>
  <c r="AS46" i="3"/>
  <c r="AT46" i="3" s="1"/>
  <c r="AS44" i="3"/>
  <c r="AT44" i="3" s="1"/>
  <c r="AS45" i="3"/>
  <c r="AT45" i="3" s="1"/>
  <c r="AS47" i="3"/>
  <c r="AT47" i="3" s="1"/>
  <c r="AS38" i="3"/>
  <c r="AT38" i="3" s="1"/>
  <c r="AS37" i="3"/>
  <c r="AT37" i="3" s="1"/>
  <c r="AS36" i="3"/>
  <c r="AT36" i="3" s="1"/>
  <c r="AS34" i="3"/>
  <c r="AT34" i="3" s="1"/>
  <c r="AS12" i="3"/>
  <c r="AT12" i="3" s="1"/>
  <c r="AU12" i="3" s="1"/>
  <c r="AV12" i="3" s="1"/>
  <c r="AW12" i="3" s="1"/>
  <c r="AX12" i="3" s="1"/>
  <c r="AY12" i="3" s="1"/>
  <c r="AZ12" i="3" s="1"/>
  <c r="BA12" i="3" s="1"/>
  <c r="BB12" i="3" s="1"/>
  <c r="BC12" i="3" s="1"/>
  <c r="BD12" i="3" s="1"/>
  <c r="BE12" i="3" s="1"/>
  <c r="AS18" i="3"/>
  <c r="AT18" i="3" s="1"/>
  <c r="AU18" i="3" s="1"/>
  <c r="AV18" i="3" s="1"/>
  <c r="AW18" i="3" s="1"/>
  <c r="AX18" i="3" s="1"/>
  <c r="AY18" i="3" s="1"/>
  <c r="AZ18" i="3" s="1"/>
  <c r="BA18" i="3" s="1"/>
  <c r="BB18" i="3" s="1"/>
  <c r="BC18" i="3" s="1"/>
  <c r="BD18" i="3" s="1"/>
  <c r="BE18" i="3" s="1"/>
  <c r="AS17" i="3"/>
  <c r="AT17" i="3" s="1"/>
  <c r="AU17" i="3" s="1"/>
  <c r="AV17" i="3" s="1"/>
  <c r="AW17" i="3" s="1"/>
  <c r="AX17" i="3" s="1"/>
  <c r="AY17" i="3" s="1"/>
  <c r="AZ17" i="3" s="1"/>
  <c r="BA17" i="3" s="1"/>
  <c r="BB17" i="3" s="1"/>
  <c r="BC17" i="3" s="1"/>
  <c r="BD17" i="3" s="1"/>
  <c r="BE17" i="3" s="1"/>
  <c r="AS14" i="3"/>
  <c r="AT14" i="3" s="1"/>
  <c r="AU14" i="3" s="1"/>
  <c r="AV14" i="3" s="1"/>
  <c r="AW14" i="3" s="1"/>
  <c r="AX14" i="3" s="1"/>
  <c r="AY14" i="3" s="1"/>
  <c r="AZ14" i="3" s="1"/>
  <c r="BA14" i="3" s="1"/>
  <c r="BB14" i="3" s="1"/>
  <c r="BC14" i="3" s="1"/>
  <c r="BD14" i="3" s="1"/>
  <c r="BE14" i="3" s="1"/>
  <c r="AS13" i="3"/>
  <c r="AT13" i="3" s="1"/>
  <c r="AU13" i="3" s="1"/>
  <c r="AV13" i="3" s="1"/>
  <c r="AW13" i="3" s="1"/>
  <c r="AX13" i="3" s="1"/>
  <c r="AY13" i="3" s="1"/>
  <c r="AZ13" i="3" s="1"/>
  <c r="BA13" i="3" s="1"/>
  <c r="BB13" i="3" s="1"/>
  <c r="BC13" i="3" s="1"/>
  <c r="BD13" i="3" s="1"/>
  <c r="BE13" i="3" s="1"/>
  <c r="AS11" i="3"/>
  <c r="AT11" i="3" s="1"/>
  <c r="AU11" i="3" s="1"/>
  <c r="AV11" i="3" s="1"/>
  <c r="AW11" i="3" s="1"/>
  <c r="AX11" i="3" s="1"/>
  <c r="AY11" i="3" s="1"/>
  <c r="AZ11" i="3" s="1"/>
  <c r="BA11" i="3" s="1"/>
  <c r="BB11" i="3" s="1"/>
  <c r="BC11" i="3" s="1"/>
  <c r="BD11" i="3" s="1"/>
  <c r="BE11" i="3" s="1"/>
  <c r="AS10" i="3"/>
  <c r="AT10" i="3" s="1"/>
  <c r="AS9" i="3"/>
  <c r="AT9" i="3" s="1"/>
  <c r="AU9" i="3" s="1"/>
  <c r="AV9" i="3" s="1"/>
  <c r="AW9" i="3" s="1"/>
  <c r="AX9" i="3" s="1"/>
  <c r="AY9" i="3" s="1"/>
  <c r="AZ9" i="3" s="1"/>
  <c r="BA9" i="3" s="1"/>
  <c r="BB9" i="3" s="1"/>
  <c r="BC9" i="3" s="1"/>
  <c r="BD9" i="3" s="1"/>
  <c r="BE9" i="3" s="1"/>
  <c r="AW13" i="8" l="1"/>
  <c r="AT15" i="14" s="1"/>
  <c r="AV17" i="8"/>
  <c r="AS19" i="14" s="1"/>
  <c r="AR19" i="14"/>
  <c r="AV11" i="8"/>
  <c r="AS13" i="14" s="1"/>
  <c r="AR13" i="14"/>
  <c r="AU51" i="3"/>
  <c r="AR8" i="14"/>
  <c r="AV18" i="8"/>
  <c r="AS20" i="14" s="1"/>
  <c r="AR20" i="14"/>
  <c r="AU54" i="3"/>
  <c r="AR11" i="14"/>
  <c r="AV12" i="8"/>
  <c r="AS14" i="14" s="1"/>
  <c r="AR14" i="14"/>
  <c r="AU55" i="3"/>
  <c r="A91" i="24"/>
  <c r="A689" i="13"/>
  <c r="BY5" i="1"/>
  <c r="BQ5" i="1"/>
  <c r="BV5" i="1"/>
  <c r="BS5" i="1"/>
  <c r="BF5" i="1"/>
  <c r="BJ5" i="1"/>
  <c r="BU5" i="1"/>
  <c r="BP5" i="1"/>
  <c r="BW5" i="1"/>
  <c r="BM5" i="1"/>
  <c r="BH5" i="1"/>
  <c r="BN5" i="1"/>
  <c r="BL5" i="1"/>
  <c r="BX5" i="1"/>
  <c r="BR5" i="1"/>
  <c r="BE5" i="1"/>
  <c r="BT5" i="1"/>
  <c r="BO5" i="1"/>
  <c r="BG5" i="1"/>
  <c r="BK5" i="1"/>
  <c r="AV50" i="3"/>
  <c r="BJ6" i="14"/>
  <c r="BN6" i="14"/>
  <c r="BK6" i="14"/>
  <c r="BI6" i="14"/>
  <c r="BM6" i="14"/>
  <c r="BL6" i="14"/>
  <c r="BF6" i="14"/>
  <c r="BH6" i="14"/>
  <c r="BG6" i="14"/>
  <c r="AU10" i="3"/>
  <c r="AV10" i="3" s="1"/>
  <c r="AW10" i="3" s="1"/>
  <c r="AX10" i="3" s="1"/>
  <c r="AY10" i="3" s="1"/>
  <c r="AZ10" i="3" s="1"/>
  <c r="BA10" i="3" s="1"/>
  <c r="BB10" i="3" s="1"/>
  <c r="BC10" i="3" s="1"/>
  <c r="BD10" i="3" s="1"/>
  <c r="BE10" i="3" s="1"/>
  <c r="BP13" i="1"/>
  <c r="BS13" i="1"/>
  <c r="BV13" i="1"/>
  <c r="BY13" i="1"/>
  <c r="BJ13" i="1"/>
  <c r="BG13" i="1"/>
  <c r="BJ7" i="1"/>
  <c r="BS7" i="1"/>
  <c r="BV7" i="1"/>
  <c r="BY7" i="1"/>
  <c r="BG7" i="1"/>
  <c r="BM7" i="1"/>
  <c r="AW5" i="8"/>
  <c r="AV9" i="8"/>
  <c r="AV6" i="8"/>
  <c r="AS52" i="3"/>
  <c r="AT7" i="8"/>
  <c r="AQ9" i="14" s="1"/>
  <c r="AP9" i="14"/>
  <c r="AW9" i="1"/>
  <c r="AV4" i="8"/>
  <c r="AS6" i="14" s="1"/>
  <c r="AU49" i="3"/>
  <c r="AU53" i="3"/>
  <c r="AV8" i="8"/>
  <c r="AS10" i="14" s="1"/>
  <c r="BG11" i="1"/>
  <c r="BT11" i="1"/>
  <c r="BJ11" i="1"/>
  <c r="BH11" i="1"/>
  <c r="BE11" i="1"/>
  <c r="BV11" i="1"/>
  <c r="BL11" i="1"/>
  <c r="BK11" i="1"/>
  <c r="BY11" i="1"/>
  <c r="BN11" i="1"/>
  <c r="BX11" i="1"/>
  <c r="BF11" i="1"/>
  <c r="BI11" i="1"/>
  <c r="BQ11" i="1"/>
  <c r="BO11" i="1"/>
  <c r="BR11" i="1"/>
  <c r="BP11" i="1"/>
  <c r="BM11" i="1"/>
  <c r="BS11" i="1"/>
  <c r="BW11" i="1"/>
  <c r="BU11" i="1"/>
  <c r="AU47" i="3"/>
  <c r="AN25" i="12"/>
  <c r="AU45" i="3"/>
  <c r="AN15" i="12"/>
  <c r="AU44" i="3"/>
  <c r="AN10" i="12"/>
  <c r="AU46" i="3"/>
  <c r="AN20" i="12"/>
  <c r="AU37" i="3"/>
  <c r="AV37" i="3" s="1"/>
  <c r="AW37" i="3" s="1"/>
  <c r="AX37" i="3" s="1"/>
  <c r="AY37" i="3" s="1"/>
  <c r="AZ37" i="3" s="1"/>
  <c r="BA37" i="3" s="1"/>
  <c r="BB37" i="3" s="1"/>
  <c r="BC37" i="3" s="1"/>
  <c r="BD37" i="3" s="1"/>
  <c r="BE37" i="3" s="1"/>
  <c r="AU36" i="3"/>
  <c r="AV36" i="3" s="1"/>
  <c r="AW36" i="3" s="1"/>
  <c r="AX36" i="3" s="1"/>
  <c r="AY36" i="3" s="1"/>
  <c r="AZ36" i="3" s="1"/>
  <c r="BA36" i="3" s="1"/>
  <c r="BB36" i="3" s="1"/>
  <c r="BC36" i="3" s="1"/>
  <c r="BD36" i="3" s="1"/>
  <c r="BE36" i="3" s="1"/>
  <c r="AU38" i="3"/>
  <c r="AV38" i="3" s="1"/>
  <c r="AW38" i="3" s="1"/>
  <c r="AX38" i="3" s="1"/>
  <c r="AY38" i="3" s="1"/>
  <c r="AZ38" i="3" s="1"/>
  <c r="BA38" i="3" s="1"/>
  <c r="BB38" i="3" s="1"/>
  <c r="BC38" i="3" s="1"/>
  <c r="BD38" i="3" s="1"/>
  <c r="BE38" i="3" s="1"/>
  <c r="AD6" i="10"/>
  <c r="AU34" i="3"/>
  <c r="AV34" i="3" s="1"/>
  <c r="AW34" i="3" s="1"/>
  <c r="AX34" i="3" s="1"/>
  <c r="AY34" i="3" s="1"/>
  <c r="AZ34" i="3" s="1"/>
  <c r="BA34" i="3" s="1"/>
  <c r="BB34" i="3" s="1"/>
  <c r="BC34" i="3" s="1"/>
  <c r="BD34" i="3" s="1"/>
  <c r="BE34" i="3" s="1"/>
  <c r="AT43" i="3"/>
  <c r="AN5" i="12" s="1"/>
  <c r="AU3" i="3"/>
  <c r="AV4" i="3"/>
  <c r="AV3" i="8" s="1"/>
  <c r="AX19" i="8"/>
  <c r="AX10" i="8"/>
  <c r="AU12" i="14" s="1"/>
  <c r="AX21" i="8"/>
  <c r="AX23" i="8"/>
  <c r="AX20" i="8"/>
  <c r="AX14" i="8"/>
  <c r="AU16" i="14" s="1"/>
  <c r="AX16" i="8"/>
  <c r="AU18" i="14" s="1"/>
  <c r="AX15" i="8"/>
  <c r="AU17" i="14" s="1"/>
  <c r="AY26" i="8"/>
  <c r="AX22" i="8"/>
  <c r="Z6" i="10"/>
  <c r="BV3" i="1"/>
  <c r="BM3" i="1"/>
  <c r="BJ3" i="1"/>
  <c r="BY3" i="1"/>
  <c r="BG3" i="1"/>
  <c r="BS3" i="1"/>
  <c r="BI17" i="1"/>
  <c r="BX17" i="1"/>
  <c r="BP17" i="1"/>
  <c r="BH17" i="1"/>
  <c r="BW17" i="1"/>
  <c r="BO17" i="1"/>
  <c r="BG17" i="1"/>
  <c r="BM17" i="1"/>
  <c r="BV17" i="1"/>
  <c r="BN17" i="1"/>
  <c r="BF17" i="1"/>
  <c r="BU17" i="1"/>
  <c r="BE17" i="1"/>
  <c r="BT17" i="1"/>
  <c r="BL17" i="1"/>
  <c r="BD17" i="1"/>
  <c r="BQ17" i="1"/>
  <c r="BS17" i="1"/>
  <c r="BK17" i="1"/>
  <c r="BC17" i="1"/>
  <c r="BR17" i="1"/>
  <c r="BJ17" i="1"/>
  <c r="BB17" i="1"/>
  <c r="BY17" i="1"/>
  <c r="BY31" i="1"/>
  <c r="BQ31" i="1"/>
  <c r="BI31" i="1"/>
  <c r="BX31" i="1"/>
  <c r="BP31" i="1"/>
  <c r="BH31" i="1"/>
  <c r="BW31" i="1"/>
  <c r="BO31" i="1"/>
  <c r="BG31" i="1"/>
  <c r="BV31" i="1"/>
  <c r="BN31" i="1"/>
  <c r="BF31" i="1"/>
  <c r="BU31" i="1"/>
  <c r="BM31" i="1"/>
  <c r="BE31" i="1"/>
  <c r="BT31" i="1"/>
  <c r="BL31" i="1"/>
  <c r="BD31" i="1"/>
  <c r="BS31" i="1"/>
  <c r="BK31" i="1"/>
  <c r="BC31" i="1"/>
  <c r="BR31" i="1"/>
  <c r="BJ31" i="1"/>
  <c r="BB31" i="1"/>
  <c r="BY19" i="1"/>
  <c r="BI19" i="1"/>
  <c r="BX19" i="1"/>
  <c r="BP19" i="1"/>
  <c r="BH19" i="1"/>
  <c r="BW19" i="1"/>
  <c r="BO19" i="1"/>
  <c r="BG19" i="1"/>
  <c r="BV19" i="1"/>
  <c r="BN19" i="1"/>
  <c r="BF19" i="1"/>
  <c r="BU19" i="1"/>
  <c r="BM19" i="1"/>
  <c r="BE19" i="1"/>
  <c r="BT19" i="1"/>
  <c r="BL19" i="1"/>
  <c r="BD19" i="1"/>
  <c r="BQ19" i="1"/>
  <c r="BS19" i="1"/>
  <c r="BK19" i="1"/>
  <c r="BC19" i="1"/>
  <c r="BR19" i="1"/>
  <c r="BJ19" i="1"/>
  <c r="BB19" i="1"/>
  <c r="BY29" i="1"/>
  <c r="BQ29" i="1"/>
  <c r="BI29" i="1"/>
  <c r="BX29" i="1"/>
  <c r="BP29" i="1"/>
  <c r="BH29" i="1"/>
  <c r="BU29" i="1"/>
  <c r="BW29" i="1"/>
  <c r="BO29" i="1"/>
  <c r="BG29" i="1"/>
  <c r="BV29" i="1"/>
  <c r="BN29" i="1"/>
  <c r="BF29" i="1"/>
  <c r="BM29" i="1"/>
  <c r="BE29" i="1"/>
  <c r="BT29" i="1"/>
  <c r="BL29" i="1"/>
  <c r="BD29" i="1"/>
  <c r="BS29" i="1"/>
  <c r="BK29" i="1"/>
  <c r="BC29" i="1"/>
  <c r="BR29" i="1"/>
  <c r="BJ29" i="1"/>
  <c r="BB29" i="1"/>
  <c r="AS3" i="8"/>
  <c r="U9" i="10"/>
  <c r="U8" i="10"/>
  <c r="X6" i="10"/>
  <c r="U7" i="10"/>
  <c r="U5" i="10"/>
  <c r="AM25" i="12"/>
  <c r="AM10" i="12"/>
  <c r="AM15" i="12"/>
  <c r="AM20" i="12"/>
  <c r="AX13" i="8" l="1"/>
  <c r="AU15" i="14" s="1"/>
  <c r="AW11" i="8"/>
  <c r="AX11" i="8" s="1"/>
  <c r="AU13" i="14" s="1"/>
  <c r="AW12" i="8"/>
  <c r="AX12" i="8" s="1"/>
  <c r="AW17" i="8"/>
  <c r="AX17" i="8" s="1"/>
  <c r="AW50" i="3"/>
  <c r="AT7" i="14"/>
  <c r="AW18" i="8"/>
  <c r="AV51" i="3"/>
  <c r="AS8" i="14"/>
  <c r="AV54" i="3"/>
  <c r="AS11" i="14"/>
  <c r="AV55" i="3"/>
  <c r="A92" i="24"/>
  <c r="A690" i="13"/>
  <c r="F6" i="14"/>
  <c r="AX5" i="8"/>
  <c r="AU7" i="14" s="1"/>
  <c r="AW9" i="8"/>
  <c r="AT11" i="14" s="1"/>
  <c r="AW6" i="8"/>
  <c r="AX9" i="1"/>
  <c r="BA9" i="1"/>
  <c r="AU7" i="8"/>
  <c r="AR9" i="14" s="1"/>
  <c r="AT52" i="3"/>
  <c r="AV53" i="3"/>
  <c r="AW8" i="8"/>
  <c r="AT10" i="14" s="1"/>
  <c r="AV49" i="3"/>
  <c r="AW4" i="8"/>
  <c r="AT6" i="14" s="1"/>
  <c r="AN6" i="12"/>
  <c r="AN8" i="12"/>
  <c r="AV46" i="3"/>
  <c r="AO20" i="12"/>
  <c r="AN21" i="12"/>
  <c r="AN23" i="12"/>
  <c r="AN11" i="12"/>
  <c r="AN13" i="12"/>
  <c r="AV44" i="3"/>
  <c r="AO10" i="12"/>
  <c r="AN16" i="12"/>
  <c r="AN18" i="12"/>
  <c r="AV45" i="3"/>
  <c r="AO15" i="12"/>
  <c r="AN26" i="12"/>
  <c r="AN28" i="12"/>
  <c r="AV47" i="3"/>
  <c r="AO25" i="12"/>
  <c r="AU43" i="3"/>
  <c r="AO5" i="12" s="1"/>
  <c r="AF6" i="10"/>
  <c r="AN6" i="10"/>
  <c r="CC35" i="3" s="1"/>
  <c r="AD9" i="10"/>
  <c r="AH9" i="10" s="1"/>
  <c r="AD7" i="10"/>
  <c r="AI6" i="10"/>
  <c r="AD8" i="10"/>
  <c r="AD5" i="10"/>
  <c r="AI5" i="10" s="1"/>
  <c r="AM8" i="12"/>
  <c r="AV3" i="3"/>
  <c r="AW4" i="3"/>
  <c r="AW3" i="8" s="1"/>
  <c r="AY14" i="8"/>
  <c r="AV16" i="14" s="1"/>
  <c r="AY20" i="8"/>
  <c r="AY22" i="8"/>
  <c r="AY15" i="8"/>
  <c r="AV17" i="14" s="1"/>
  <c r="AY16" i="8"/>
  <c r="AV18" i="14" s="1"/>
  <c r="AZ26" i="8"/>
  <c r="AY21" i="8"/>
  <c r="AY23" i="8"/>
  <c r="AY10" i="8"/>
  <c r="AV12" i="14" s="1"/>
  <c r="AY19" i="8"/>
  <c r="Z5" i="10"/>
  <c r="Z7" i="10"/>
  <c r="Z8" i="10"/>
  <c r="Z9" i="10"/>
  <c r="Y6" i="10"/>
  <c r="W6" i="10"/>
  <c r="Y5" i="10"/>
  <c r="Y7" i="10"/>
  <c r="W9" i="10"/>
  <c r="AM23" i="12"/>
  <c r="AM21" i="12"/>
  <c r="AM16" i="12"/>
  <c r="AM18" i="12"/>
  <c r="AM13" i="12"/>
  <c r="AM11" i="12"/>
  <c r="AM26" i="12"/>
  <c r="AM28" i="12"/>
  <c r="AY13" i="8" l="1"/>
  <c r="AV15" i="14" s="1"/>
  <c r="AT13" i="14"/>
  <c r="AU14" i="14"/>
  <c r="AY12" i="8"/>
  <c r="AV14" i="14" s="1"/>
  <c r="AT14" i="14"/>
  <c r="AT19" i="14"/>
  <c r="AU19" i="14"/>
  <c r="AY17" i="8"/>
  <c r="AV19" i="14" s="1"/>
  <c r="AY11" i="8"/>
  <c r="AV13" i="14" s="1"/>
  <c r="AW51" i="3"/>
  <c r="AT8" i="14"/>
  <c r="AX18" i="8"/>
  <c r="AT20" i="14"/>
  <c r="AW55" i="3"/>
  <c r="A93" i="24"/>
  <c r="A691" i="13"/>
  <c r="AW54" i="3"/>
  <c r="AX50" i="3"/>
  <c r="AB6" i="10"/>
  <c r="AA6" i="10"/>
  <c r="AY5" i="8"/>
  <c r="AX9" i="8"/>
  <c r="AX6" i="8"/>
  <c r="AU8" i="14" s="1"/>
  <c r="AV7" i="8"/>
  <c r="AS9" i="14" s="1"/>
  <c r="AU52" i="3"/>
  <c r="BG9" i="1"/>
  <c r="BG43" i="1" s="1"/>
  <c r="BM9" i="1"/>
  <c r="BM43" i="1" s="1"/>
  <c r="BU9" i="1"/>
  <c r="BU43" i="1" s="1"/>
  <c r="BQ9" i="1"/>
  <c r="BQ43" i="1" s="1"/>
  <c r="BW9" i="1"/>
  <c r="BW43" i="1" s="1"/>
  <c r="BT9" i="1"/>
  <c r="BT43" i="1" s="1"/>
  <c r="BL9" i="1"/>
  <c r="BL43" i="1" s="1"/>
  <c r="BS9" i="1"/>
  <c r="BS43" i="1" s="1"/>
  <c r="BI9" i="1"/>
  <c r="BI43" i="1" s="1"/>
  <c r="BX9" i="1"/>
  <c r="BX43" i="1" s="1"/>
  <c r="BV9" i="1"/>
  <c r="BV43" i="1" s="1"/>
  <c r="BK9" i="1"/>
  <c r="BK43" i="1" s="1"/>
  <c r="BO9" i="1"/>
  <c r="BO43" i="1" s="1"/>
  <c r="BY9" i="1"/>
  <c r="BY43" i="1" s="1"/>
  <c r="BP9" i="1"/>
  <c r="BP43" i="1" s="1"/>
  <c r="BN9" i="1"/>
  <c r="BN43" i="1" s="1"/>
  <c r="BR9" i="1"/>
  <c r="BR43" i="1" s="1"/>
  <c r="BJ9" i="1"/>
  <c r="BJ43" i="1" s="1"/>
  <c r="BH9" i="1"/>
  <c r="BH43" i="1" s="1"/>
  <c r="BF9" i="1"/>
  <c r="BF43" i="1" s="1"/>
  <c r="BE9" i="1"/>
  <c r="BE43" i="1" s="1"/>
  <c r="AW49" i="3"/>
  <c r="AX4" i="8"/>
  <c r="AU6" i="14" s="1"/>
  <c r="AW53" i="3"/>
  <c r="AX8" i="8"/>
  <c r="AU10" i="14" s="1"/>
  <c r="AO6" i="12"/>
  <c r="AO8" i="12"/>
  <c r="AO26" i="12"/>
  <c r="AO28" i="12"/>
  <c r="AW47" i="3"/>
  <c r="AP25" i="12"/>
  <c r="AO11" i="12"/>
  <c r="AO13" i="12"/>
  <c r="AO21" i="12"/>
  <c r="AO23" i="12"/>
  <c r="AW44" i="3"/>
  <c r="AP10" i="12"/>
  <c r="AW46" i="3"/>
  <c r="AP20" i="12"/>
  <c r="AV43" i="3"/>
  <c r="AP5" i="12" s="1"/>
  <c r="AO18" i="12"/>
  <c r="AO16" i="12"/>
  <c r="AW45" i="3"/>
  <c r="AP15" i="12"/>
  <c r="AH6" i="10"/>
  <c r="AG6" i="10"/>
  <c r="AG8" i="10"/>
  <c r="AN8" i="10"/>
  <c r="CC37" i="3" s="1"/>
  <c r="AI7" i="10"/>
  <c r="AN7" i="10"/>
  <c r="CC36" i="3" s="1"/>
  <c r="AF7" i="10"/>
  <c r="AI9" i="10"/>
  <c r="AN9" i="10"/>
  <c r="CC38" i="3" s="1"/>
  <c r="AI8" i="10"/>
  <c r="AN5" i="10"/>
  <c r="CC34" i="3" s="1"/>
  <c r="AD14" i="10"/>
  <c r="AF9" i="10"/>
  <c r="AG9" i="10"/>
  <c r="AZ14" i="8"/>
  <c r="AW16" i="14" s="1"/>
  <c r="AW3" i="3"/>
  <c r="AX4" i="3"/>
  <c r="AX3" i="8" s="1"/>
  <c r="AZ19" i="8"/>
  <c r="AZ10" i="8"/>
  <c r="AW12" i="14" s="1"/>
  <c r="AZ16" i="8"/>
  <c r="AW18" i="14" s="1"/>
  <c r="AZ15" i="8"/>
  <c r="AW17" i="14" s="1"/>
  <c r="AZ23" i="8"/>
  <c r="AZ20" i="8"/>
  <c r="AZ21" i="8"/>
  <c r="AZ22" i="8"/>
  <c r="BA26" i="8"/>
  <c r="Y8" i="10"/>
  <c r="Y9" i="10"/>
  <c r="X7" i="10"/>
  <c r="X8" i="10"/>
  <c r="W5" i="10"/>
  <c r="X9" i="10"/>
  <c r="W7" i="10"/>
  <c r="W8" i="10"/>
  <c r="X5" i="10"/>
  <c r="AZ13" i="8" l="1"/>
  <c r="AW15" i="14" s="1"/>
  <c r="AZ12" i="8"/>
  <c r="AW14" i="14" s="1"/>
  <c r="AZ11" i="8"/>
  <c r="AW13" i="14" s="1"/>
  <c r="AZ17" i="8"/>
  <c r="AW19" i="14" s="1"/>
  <c r="AX54" i="3"/>
  <c r="AU11" i="14"/>
  <c r="AY50" i="3"/>
  <c r="AV7" i="14"/>
  <c r="AU20" i="14"/>
  <c r="AY18" i="8"/>
  <c r="AX55" i="3"/>
  <c r="A94" i="24"/>
  <c r="A692" i="13"/>
  <c r="AX51" i="3"/>
  <c r="AK6" i="10"/>
  <c r="AK9" i="10"/>
  <c r="AJ9" i="10"/>
  <c r="AJ6" i="10"/>
  <c r="AA9" i="10"/>
  <c r="AB9" i="10"/>
  <c r="AA8" i="10"/>
  <c r="AB8" i="10"/>
  <c r="AA7" i="10"/>
  <c r="AB7" i="10"/>
  <c r="AB5" i="10"/>
  <c r="AA5" i="10"/>
  <c r="AF5" i="10"/>
  <c r="AZ5" i="8"/>
  <c r="AW7" i="14" s="1"/>
  <c r="AY9" i="8"/>
  <c r="AV11" i="14" s="1"/>
  <c r="AY6" i="8"/>
  <c r="AW7" i="8"/>
  <c r="AT9" i="14" s="1"/>
  <c r="AV52" i="3"/>
  <c r="AX53" i="3"/>
  <c r="AY8" i="8"/>
  <c r="AV10" i="14" s="1"/>
  <c r="AX49" i="3"/>
  <c r="AY4" i="8"/>
  <c r="AV6" i="14" s="1"/>
  <c r="AW43" i="3"/>
  <c r="AQ5" i="12" s="1"/>
  <c r="AQ6" i="12" s="1"/>
  <c r="AP11" i="12"/>
  <c r="AP13" i="12"/>
  <c r="AX44" i="3"/>
  <c r="AQ10" i="12"/>
  <c r="AX47" i="3"/>
  <c r="AQ25" i="12"/>
  <c r="AP16" i="12"/>
  <c r="AP18" i="12"/>
  <c r="AX45" i="3"/>
  <c r="AQ15" i="12"/>
  <c r="AP6" i="12"/>
  <c r="AP8" i="12"/>
  <c r="AP21" i="12"/>
  <c r="AP23" i="12"/>
  <c r="AP26" i="12"/>
  <c r="AP28" i="12"/>
  <c r="AX46" i="3"/>
  <c r="AQ20" i="12"/>
  <c r="AF8" i="10"/>
  <c r="AH8" i="10"/>
  <c r="AG7" i="10"/>
  <c r="AH7" i="10"/>
  <c r="CC39" i="3"/>
  <c r="AG26" i="24" s="1"/>
  <c r="U39" i="13" s="1"/>
  <c r="AN10" i="10"/>
  <c r="AH5" i="10"/>
  <c r="AG5" i="10"/>
  <c r="BA14" i="8"/>
  <c r="AX16" i="14" s="1"/>
  <c r="AX3" i="3"/>
  <c r="AY4" i="3"/>
  <c r="AY3" i="8" s="1"/>
  <c r="BA10" i="8"/>
  <c r="AX12" i="14" s="1"/>
  <c r="BA15" i="8"/>
  <c r="AX17" i="14" s="1"/>
  <c r="BA23" i="8"/>
  <c r="BA20" i="8"/>
  <c r="BA19" i="8"/>
  <c r="BA22" i="8"/>
  <c r="BA16" i="8"/>
  <c r="AX18" i="14" s="1"/>
  <c r="BB26" i="8"/>
  <c r="BA21" i="8"/>
  <c r="AC6" i="10"/>
  <c r="DE35" i="3" s="1"/>
  <c r="BA13" i="8" l="1"/>
  <c r="AX15" i="14" s="1"/>
  <c r="BA11" i="8"/>
  <c r="AX13" i="14" s="1"/>
  <c r="BA12" i="8"/>
  <c r="AX14" i="14" s="1"/>
  <c r="BA17" i="8"/>
  <c r="AX19" i="14" s="1"/>
  <c r="AV20" i="14"/>
  <c r="AZ18" i="8"/>
  <c r="AY51" i="3"/>
  <c r="AV8" i="14"/>
  <c r="AY55" i="3"/>
  <c r="A95" i="24"/>
  <c r="A693" i="13"/>
  <c r="AY54" i="3"/>
  <c r="AZ50" i="3"/>
  <c r="AJ5" i="10"/>
  <c r="AJ7" i="10"/>
  <c r="AK7" i="10"/>
  <c r="AK8" i="10"/>
  <c r="AJ8" i="10"/>
  <c r="AK5" i="10"/>
  <c r="BA5" i="8"/>
  <c r="K16" i="24"/>
  <c r="AZ9" i="8"/>
  <c r="AZ6" i="8"/>
  <c r="AW52" i="3"/>
  <c r="AX7" i="8"/>
  <c r="AU9" i="14" s="1"/>
  <c r="AY49" i="3"/>
  <c r="AZ4" i="8"/>
  <c r="AW6" i="14" s="1"/>
  <c r="AX43" i="3"/>
  <c r="AR5" i="12" s="1"/>
  <c r="AR6" i="12" s="1"/>
  <c r="AY53" i="3"/>
  <c r="AZ8" i="8"/>
  <c r="AW10" i="14" s="1"/>
  <c r="AL6" i="10"/>
  <c r="AQ8" i="12"/>
  <c r="AQ11" i="12"/>
  <c r="AQ13" i="12"/>
  <c r="AY45" i="3"/>
  <c r="AR15" i="12"/>
  <c r="AY44" i="3"/>
  <c r="AR10" i="12"/>
  <c r="AQ16" i="12"/>
  <c r="AQ18" i="12"/>
  <c r="AQ21" i="12"/>
  <c r="AQ23" i="12"/>
  <c r="AY46" i="3"/>
  <c r="AR20" i="12"/>
  <c r="AQ26" i="12"/>
  <c r="AQ28" i="12"/>
  <c r="AY47" i="3"/>
  <c r="AR25" i="12"/>
  <c r="AL9" i="10"/>
  <c r="DF38" i="3" s="1"/>
  <c r="AY3" i="3"/>
  <c r="AZ4" i="3"/>
  <c r="AZ3" i="8" s="1"/>
  <c r="BB10" i="8"/>
  <c r="AY12" i="14" s="1"/>
  <c r="BB16" i="8"/>
  <c r="AY18" i="14" s="1"/>
  <c r="BB21" i="8"/>
  <c r="BB20" i="8"/>
  <c r="BB22" i="8"/>
  <c r="BC26" i="8"/>
  <c r="BB15" i="8"/>
  <c r="AY17" i="14" s="1"/>
  <c r="BB23" i="8"/>
  <c r="BB19" i="8"/>
  <c r="BB14" i="8"/>
  <c r="AY16" i="14" s="1"/>
  <c r="AC5" i="10"/>
  <c r="DE34" i="3" s="1"/>
  <c r="AC9" i="10"/>
  <c r="AC8" i="10"/>
  <c r="DE37" i="3" s="1"/>
  <c r="AC7" i="10"/>
  <c r="DE36" i="3" s="1"/>
  <c r="BB13" i="8" l="1"/>
  <c r="AY15" i="14" s="1"/>
  <c r="BB11" i="8"/>
  <c r="AY13" i="14" s="1"/>
  <c r="BB12" i="8"/>
  <c r="AY14" i="14" s="1"/>
  <c r="BB17" i="8"/>
  <c r="AY19" i="14" s="1"/>
  <c r="AZ51" i="3"/>
  <c r="AW8" i="14"/>
  <c r="BA50" i="3"/>
  <c r="AX7" i="14"/>
  <c r="AZ54" i="3"/>
  <c r="AW11" i="14"/>
  <c r="AW20" i="14"/>
  <c r="BA18" i="8"/>
  <c r="AZ55" i="3"/>
  <c r="A96" i="24"/>
  <c r="A694" i="13"/>
  <c r="AL5" i="10"/>
  <c r="DF35" i="3"/>
  <c r="CB35" i="3" s="1"/>
  <c r="DE38" i="3"/>
  <c r="CB38" i="3" s="1"/>
  <c r="BB5" i="8"/>
  <c r="BA9" i="8"/>
  <c r="BA6" i="8"/>
  <c r="AY43" i="3"/>
  <c r="AS5" i="12" s="1"/>
  <c r="AS8" i="12" s="1"/>
  <c r="AX52" i="3"/>
  <c r="AY7" i="8"/>
  <c r="AR8" i="12"/>
  <c r="AZ53" i="3"/>
  <c r="BA8" i="8"/>
  <c r="AX10" i="14" s="1"/>
  <c r="AZ49" i="3"/>
  <c r="BA4" i="8"/>
  <c r="AX6" i="14" s="1"/>
  <c r="AM9" i="10"/>
  <c r="AM6" i="10"/>
  <c r="BE6" i="10" s="1"/>
  <c r="AL8" i="10"/>
  <c r="DF37" i="3" s="1"/>
  <c r="AL7" i="10"/>
  <c r="AR26" i="12"/>
  <c r="AR28" i="12"/>
  <c r="AR11" i="12"/>
  <c r="AR13" i="12"/>
  <c r="AZ47" i="3"/>
  <c r="AS25" i="12"/>
  <c r="AZ44" i="3"/>
  <c r="AS10" i="12"/>
  <c r="AR16" i="12"/>
  <c r="AR18" i="12"/>
  <c r="AZ45" i="3"/>
  <c r="AS15" i="12"/>
  <c r="AR21" i="12"/>
  <c r="AR23" i="12"/>
  <c r="AZ46" i="3"/>
  <c r="AS20" i="12"/>
  <c r="AZ3" i="3"/>
  <c r="BA4" i="3"/>
  <c r="BA3" i="8" s="1"/>
  <c r="BC16" i="8"/>
  <c r="AZ18" i="14" s="1"/>
  <c r="BC21" i="8"/>
  <c r="BC14" i="8"/>
  <c r="AZ16" i="14" s="1"/>
  <c r="BC19" i="8"/>
  <c r="BC23" i="8"/>
  <c r="BC22" i="8"/>
  <c r="BC15" i="8"/>
  <c r="AZ17" i="14" s="1"/>
  <c r="BC10" i="8"/>
  <c r="AZ12" i="14" s="1"/>
  <c r="BC20" i="8"/>
  <c r="BD26" i="8"/>
  <c r="BE26" i="8"/>
  <c r="AC10" i="10"/>
  <c r="BC13" i="8" l="1"/>
  <c r="AZ15" i="14" s="1"/>
  <c r="BC11" i="8"/>
  <c r="AZ13" i="14" s="1"/>
  <c r="BC12" i="8"/>
  <c r="AZ14" i="14" s="1"/>
  <c r="BC17" i="8"/>
  <c r="AZ19" i="14" s="1"/>
  <c r="BB50" i="3"/>
  <c r="AY7" i="14"/>
  <c r="AX20" i="14"/>
  <c r="BB18" i="8"/>
  <c r="AY20" i="14" s="1"/>
  <c r="AY52" i="3"/>
  <c r="AV9" i="14"/>
  <c r="BA54" i="3"/>
  <c r="AX11" i="14"/>
  <c r="BA51" i="3"/>
  <c r="AX8" i="14"/>
  <c r="BA55" i="3"/>
  <c r="A97" i="24"/>
  <c r="A695" i="13"/>
  <c r="BO26" i="8"/>
  <c r="DF34" i="3"/>
  <c r="CB34" i="3" s="1"/>
  <c r="DE39" i="3"/>
  <c r="DF36" i="3"/>
  <c r="CB36" i="3" s="1"/>
  <c r="AM8" i="10"/>
  <c r="BC8" i="10" s="1"/>
  <c r="CB37" i="3"/>
  <c r="AM5" i="10"/>
  <c r="CM38" i="3"/>
  <c r="CU38" i="3"/>
  <c r="CN38" i="3"/>
  <c r="CV38" i="3"/>
  <c r="CO38" i="3"/>
  <c r="CP38" i="3"/>
  <c r="CX38" i="3"/>
  <c r="DB38" i="3"/>
  <c r="CW38" i="3"/>
  <c r="CI38" i="3"/>
  <c r="CQ38" i="3"/>
  <c r="CY38" i="3"/>
  <c r="CT38" i="3"/>
  <c r="CJ38" i="3"/>
  <c r="CR38" i="3"/>
  <c r="CZ38" i="3"/>
  <c r="CL38" i="3"/>
  <c r="CK38" i="3"/>
  <c r="F26" i="13" s="1"/>
  <c r="CS38" i="3"/>
  <c r="DA38" i="3"/>
  <c r="BC5" i="8"/>
  <c r="BB9" i="8"/>
  <c r="BB6" i="8"/>
  <c r="AS6" i="12"/>
  <c r="AZ43" i="3"/>
  <c r="AT5" i="12" s="1"/>
  <c r="AT6" i="12" s="1"/>
  <c r="AZ7" i="8"/>
  <c r="BA49" i="3"/>
  <c r="BB4" i="8"/>
  <c r="AY6" i="14" s="1"/>
  <c r="BA53" i="3"/>
  <c r="BB8" i="8"/>
  <c r="AY10" i="14" s="1"/>
  <c r="AP6" i="10"/>
  <c r="AQ6" i="10"/>
  <c r="BB6" i="10"/>
  <c r="AS6" i="10"/>
  <c r="BD6" i="10"/>
  <c r="BC6" i="10"/>
  <c r="BF6" i="10"/>
  <c r="AW6" i="10"/>
  <c r="BI6" i="10"/>
  <c r="AR6" i="10"/>
  <c r="BH6" i="10"/>
  <c r="AV6" i="10"/>
  <c r="BA6" i="10"/>
  <c r="BG6" i="10"/>
  <c r="AT6" i="10"/>
  <c r="AM7" i="10"/>
  <c r="AZ6" i="10"/>
  <c r="AU6" i="10"/>
  <c r="AX6" i="10"/>
  <c r="CI35" i="3"/>
  <c r="AY6" i="10"/>
  <c r="AL10" i="10"/>
  <c r="AS26" i="12"/>
  <c r="AS28" i="12"/>
  <c r="AS21" i="12"/>
  <c r="AS23" i="12"/>
  <c r="AS16" i="12"/>
  <c r="AS18" i="12"/>
  <c r="BA47" i="3"/>
  <c r="AT25" i="12"/>
  <c r="BA46" i="3"/>
  <c r="AT20" i="12"/>
  <c r="BA45" i="3"/>
  <c r="AT15" i="12"/>
  <c r="AS11" i="12"/>
  <c r="AS13" i="12"/>
  <c r="BA44" i="3"/>
  <c r="AT10" i="12"/>
  <c r="BD9" i="10"/>
  <c r="BD15" i="8"/>
  <c r="BA3" i="3"/>
  <c r="BB4" i="3"/>
  <c r="BB3" i="8" s="1"/>
  <c r="BD14" i="8"/>
  <c r="BD10" i="8"/>
  <c r="BD22" i="8"/>
  <c r="BE22" i="8" s="1"/>
  <c r="BO22" i="8" s="1"/>
  <c r="BD20" i="8"/>
  <c r="BE20" i="8" s="1"/>
  <c r="BO20" i="8" s="1"/>
  <c r="BD19" i="8"/>
  <c r="BE19" i="8" s="1"/>
  <c r="BO19" i="8" s="1"/>
  <c r="BD21" i="8"/>
  <c r="BE21" i="8" s="1"/>
  <c r="BO21" i="8" s="1"/>
  <c r="BD12" i="8"/>
  <c r="BD11" i="8"/>
  <c r="BD16" i="8"/>
  <c r="BD23" i="8"/>
  <c r="AR9" i="10"/>
  <c r="BF9" i="10"/>
  <c r="AW9" i="10"/>
  <c r="AV9" i="10"/>
  <c r="AS9" i="10"/>
  <c r="BH9" i="10"/>
  <c r="BB9" i="10"/>
  <c r="AX9" i="10"/>
  <c r="AZ9" i="10"/>
  <c r="BI9" i="10"/>
  <c r="AQ9" i="10"/>
  <c r="BC9" i="10"/>
  <c r="BA9" i="10"/>
  <c r="BE9" i="10"/>
  <c r="AU9" i="10"/>
  <c r="BG9" i="10"/>
  <c r="AP9" i="10"/>
  <c r="AT9" i="10"/>
  <c r="AY9" i="10"/>
  <c r="BD13" i="8" l="1"/>
  <c r="BA15" i="14" s="1"/>
  <c r="BD17" i="8"/>
  <c r="BA19" i="14" s="1"/>
  <c r="BC18" i="8"/>
  <c r="BE12" i="8"/>
  <c r="BA14" i="14"/>
  <c r="BE14" i="8"/>
  <c r="BA16" i="14"/>
  <c r="AZ52" i="3"/>
  <c r="AW9" i="14"/>
  <c r="BE10" i="8"/>
  <c r="BA12" i="14"/>
  <c r="BB51" i="3"/>
  <c r="AY8" i="14"/>
  <c r="BE11" i="8"/>
  <c r="BA13" i="14"/>
  <c r="BE15" i="8"/>
  <c r="BA17" i="14"/>
  <c r="BB54" i="3"/>
  <c r="AY11" i="14"/>
  <c r="BC50" i="3"/>
  <c r="AZ7" i="14"/>
  <c r="BE16" i="8"/>
  <c r="BA18" i="14"/>
  <c r="BE13" i="8"/>
  <c r="BB55" i="3"/>
  <c r="A98" i="24"/>
  <c r="A696" i="13"/>
  <c r="F196" i="13"/>
  <c r="F16" i="13"/>
  <c r="F3" i="13"/>
  <c r="F6" i="13"/>
  <c r="BI8" i="10"/>
  <c r="BG8" i="10"/>
  <c r="CI36" i="3"/>
  <c r="CI34" i="3"/>
  <c r="DF39" i="3"/>
  <c r="AR8" i="10"/>
  <c r="BB8" i="10"/>
  <c r="AW8" i="10"/>
  <c r="BE8" i="10"/>
  <c r="AV8" i="10"/>
  <c r="BF8" i="10"/>
  <c r="AT8" i="10"/>
  <c r="AX8" i="10"/>
  <c r="BD8" i="10"/>
  <c r="BA8" i="10"/>
  <c r="AS8" i="10"/>
  <c r="AP8" i="10"/>
  <c r="AQ8" i="10"/>
  <c r="AU8" i="10"/>
  <c r="AY8" i="10"/>
  <c r="BH8" i="10"/>
  <c r="AZ8" i="10"/>
  <c r="CS37" i="3"/>
  <c r="CY37" i="3"/>
  <c r="CJ37" i="3"/>
  <c r="CR37" i="3"/>
  <c r="CX37" i="3"/>
  <c r="CM36" i="3"/>
  <c r="CU36" i="3"/>
  <c r="CN36" i="3"/>
  <c r="CV36" i="3"/>
  <c r="CP36" i="3"/>
  <c r="CX36" i="3"/>
  <c r="CT36" i="3"/>
  <c r="CW36" i="3"/>
  <c r="CQ36" i="3"/>
  <c r="CY36" i="3"/>
  <c r="CL36" i="3"/>
  <c r="DB36" i="3"/>
  <c r="CJ36" i="3"/>
  <c r="CR36" i="3"/>
  <c r="CZ36" i="3"/>
  <c r="CK36" i="3"/>
  <c r="F24" i="13" s="1"/>
  <c r="CS36" i="3"/>
  <c r="DA36" i="3"/>
  <c r="CO36" i="3"/>
  <c r="CQ35" i="3"/>
  <c r="CY35" i="3"/>
  <c r="CJ35" i="3"/>
  <c r="CR35" i="3"/>
  <c r="CZ35" i="3"/>
  <c r="CS35" i="3"/>
  <c r="CL35" i="3"/>
  <c r="CT35" i="3"/>
  <c r="DB35" i="3"/>
  <c r="CM35" i="3"/>
  <c r="CU35" i="3"/>
  <c r="DA35" i="3"/>
  <c r="CN35" i="3"/>
  <c r="CV35" i="3"/>
  <c r="CX35" i="3"/>
  <c r="CK35" i="3"/>
  <c r="F23" i="13" s="1"/>
  <c r="CO35" i="3"/>
  <c r="CW35" i="3"/>
  <c r="CP35" i="3"/>
  <c r="CJ34" i="3"/>
  <c r="CR34" i="3"/>
  <c r="CZ34" i="3"/>
  <c r="CU34" i="3"/>
  <c r="CN34" i="3"/>
  <c r="CO34" i="3"/>
  <c r="CY34" i="3"/>
  <c r="CK34" i="3"/>
  <c r="F22" i="13" s="1"/>
  <c r="CS34" i="3"/>
  <c r="DA34" i="3"/>
  <c r="CV34" i="3"/>
  <c r="CX34" i="3"/>
  <c r="CQ34" i="3"/>
  <c r="CL34" i="3"/>
  <c r="CT34" i="3"/>
  <c r="DB34" i="3"/>
  <c r="CM34" i="3"/>
  <c r="CW34" i="3"/>
  <c r="CP34" i="3"/>
  <c r="BD5" i="8"/>
  <c r="BC9" i="8"/>
  <c r="BC6" i="8"/>
  <c r="BA43" i="3"/>
  <c r="AU5" i="12" s="1"/>
  <c r="AU6" i="12" s="1"/>
  <c r="AT8" i="12"/>
  <c r="BA7" i="8"/>
  <c r="BE23" i="8"/>
  <c r="BO23" i="8" s="1"/>
  <c r="BB53" i="3"/>
  <c r="BC8" i="8"/>
  <c r="AZ10" i="14" s="1"/>
  <c r="BB49" i="3"/>
  <c r="BC4" i="8"/>
  <c r="AZ6" i="14" s="1"/>
  <c r="AP7" i="10"/>
  <c r="AW7" i="10"/>
  <c r="BG7" i="10"/>
  <c r="AS7" i="10"/>
  <c r="BD7" i="10"/>
  <c r="AQ7" i="10"/>
  <c r="AU7" i="10"/>
  <c r="AV7" i="10"/>
  <c r="AT7" i="10"/>
  <c r="AZ7" i="10"/>
  <c r="BA7" i="10"/>
  <c r="BI7" i="10"/>
  <c r="BB7" i="10"/>
  <c r="AX7" i="10"/>
  <c r="BE7" i="10"/>
  <c r="BH7" i="10"/>
  <c r="BF7" i="10"/>
  <c r="BC7" i="10"/>
  <c r="AY7" i="10"/>
  <c r="AR7" i="10"/>
  <c r="BE5" i="10"/>
  <c r="AP5" i="10"/>
  <c r="AT5" i="10"/>
  <c r="AZ5" i="10"/>
  <c r="CB39" i="3"/>
  <c r="BG5" i="10"/>
  <c r="BI5" i="10"/>
  <c r="AW5" i="10"/>
  <c r="AX5" i="10"/>
  <c r="AV5" i="10"/>
  <c r="BB5" i="10"/>
  <c r="AM10" i="10"/>
  <c r="BF5" i="10"/>
  <c r="AU5" i="10"/>
  <c r="BC5" i="10"/>
  <c r="AQ5" i="10"/>
  <c r="AR5" i="10"/>
  <c r="BD5" i="10"/>
  <c r="AY5" i="10"/>
  <c r="BH5" i="10"/>
  <c r="BA5" i="10"/>
  <c r="AS5" i="10"/>
  <c r="AT21" i="12"/>
  <c r="AT23" i="12"/>
  <c r="AT11" i="12"/>
  <c r="AT13" i="12"/>
  <c r="BB46" i="3"/>
  <c r="AU20" i="12"/>
  <c r="BB44" i="3"/>
  <c r="AU10" i="12"/>
  <c r="AT26" i="12"/>
  <c r="AT28" i="12"/>
  <c r="BB47" i="3"/>
  <c r="AU25" i="12"/>
  <c r="AT16" i="12"/>
  <c r="AT18" i="12"/>
  <c r="BB45" i="3"/>
  <c r="AU15" i="12"/>
  <c r="BB3" i="3"/>
  <c r="BC4" i="3"/>
  <c r="BC3" i="8" s="1"/>
  <c r="BE17" i="8" l="1"/>
  <c r="BO17" i="8" s="1"/>
  <c r="AZ20" i="14"/>
  <c r="BD18" i="8"/>
  <c r="BC54" i="3"/>
  <c r="AZ11" i="14"/>
  <c r="BO16" i="8"/>
  <c r="BB18" i="14"/>
  <c r="BO11" i="8"/>
  <c r="BB13" i="14"/>
  <c r="BO10" i="8"/>
  <c r="BB12" i="14"/>
  <c r="BD50" i="3"/>
  <c r="BA7" i="14"/>
  <c r="BA52" i="3"/>
  <c r="AX9" i="14"/>
  <c r="BO14" i="8"/>
  <c r="BB16" i="14"/>
  <c r="BC51" i="3"/>
  <c r="AZ8" i="14"/>
  <c r="BO13" i="8"/>
  <c r="BB15" i="14"/>
  <c r="BO15" i="8"/>
  <c r="BB17" i="14"/>
  <c r="BO12" i="8"/>
  <c r="BB14" i="14"/>
  <c r="BC55" i="3"/>
  <c r="A99" i="24"/>
  <c r="A697" i="13"/>
  <c r="F14" i="13"/>
  <c r="F193" i="13"/>
  <c r="F194" i="13"/>
  <c r="F4" i="13"/>
  <c r="F12" i="13"/>
  <c r="F192" i="13"/>
  <c r="F13" i="13"/>
  <c r="F15" i="13"/>
  <c r="F2" i="13"/>
  <c r="N441" i="13"/>
  <c r="G441" i="13" s="1"/>
  <c r="N481" i="13"/>
  <c r="G481" i="13" s="1"/>
  <c r="N198" i="13"/>
  <c r="G198" i="13" s="1"/>
  <c r="N193" i="13"/>
  <c r="G193" i="13" s="1"/>
  <c r="N521" i="13"/>
  <c r="G521" i="13" s="1"/>
  <c r="N561" i="13"/>
  <c r="G561" i="13" s="1"/>
  <c r="N201" i="13"/>
  <c r="G201" i="13" s="1"/>
  <c r="N195" i="13"/>
  <c r="G195" i="13" s="1"/>
  <c r="N601" i="13"/>
  <c r="G601" i="13" s="1"/>
  <c r="N301" i="13"/>
  <c r="G301" i="13" s="1"/>
  <c r="N261" i="13"/>
  <c r="G261" i="13" s="1"/>
  <c r="N381" i="13"/>
  <c r="G381" i="13" s="1"/>
  <c r="N341" i="13"/>
  <c r="G341" i="13" s="1"/>
  <c r="N461" i="13"/>
  <c r="G461" i="13" s="1"/>
  <c r="N421" i="13"/>
  <c r="G421" i="13" s="1"/>
  <c r="N192" i="13"/>
  <c r="G192" i="13" s="1"/>
  <c r="N194" i="13"/>
  <c r="G194" i="13" s="1"/>
  <c r="N541" i="13"/>
  <c r="G541" i="13" s="1"/>
  <c r="N501" i="13"/>
  <c r="G501" i="13" s="1"/>
  <c r="N200" i="13"/>
  <c r="G200" i="13" s="1"/>
  <c r="N281" i="13"/>
  <c r="G281" i="13" s="1"/>
  <c r="N321" i="13"/>
  <c r="G321" i="13" s="1"/>
  <c r="N581" i="13"/>
  <c r="G581" i="13" s="1"/>
  <c r="N199" i="13"/>
  <c r="G199" i="13" s="1"/>
  <c r="N197" i="13"/>
  <c r="G197" i="13" s="1"/>
  <c r="N361" i="13"/>
  <c r="G361" i="13" s="1"/>
  <c r="N401" i="13"/>
  <c r="G401" i="13" s="1"/>
  <c r="N196" i="13"/>
  <c r="G196" i="13" s="1"/>
  <c r="CQ37" i="3"/>
  <c r="CQ39" i="3" s="1"/>
  <c r="CO37" i="3"/>
  <c r="CO39" i="3" s="1"/>
  <c r="CN37" i="3"/>
  <c r="CN39" i="3" s="1"/>
  <c r="CK37" i="3"/>
  <c r="CU37" i="3"/>
  <c r="CU39" i="3" s="1"/>
  <c r="CM37" i="3"/>
  <c r="CM39" i="3" s="1"/>
  <c r="CI37" i="3"/>
  <c r="DB37" i="3"/>
  <c r="CP37" i="3"/>
  <c r="CP39" i="3" s="1"/>
  <c r="CZ37" i="3"/>
  <c r="CZ39" i="3" s="1"/>
  <c r="CW37" i="3"/>
  <c r="CW39" i="3" s="1"/>
  <c r="CT37" i="3"/>
  <c r="CT39" i="3" s="1"/>
  <c r="CV37" i="3"/>
  <c r="CV39" i="3" s="1"/>
  <c r="CL37" i="3"/>
  <c r="CL39" i="3" s="1"/>
  <c r="DA37" i="3"/>
  <c r="DA39" i="3" s="1"/>
  <c r="CX39" i="3"/>
  <c r="CR39" i="3"/>
  <c r="CS39" i="3"/>
  <c r="CJ39" i="3"/>
  <c r="CY39" i="3"/>
  <c r="BE5" i="8"/>
  <c r="BB7" i="14" s="1"/>
  <c r="BD9" i="8"/>
  <c r="BA11" i="14" s="1"/>
  <c r="BD6" i="8"/>
  <c r="AU8" i="12"/>
  <c r="BB43" i="3"/>
  <c r="AV5" i="12" s="1"/>
  <c r="AV8" i="12" s="1"/>
  <c r="BF10" i="10"/>
  <c r="BB7" i="8"/>
  <c r="BC53" i="3"/>
  <c r="BD8" i="8"/>
  <c r="BA10" i="14" s="1"/>
  <c r="BC49" i="3"/>
  <c r="BD4" i="8"/>
  <c r="BA6" i="14" s="1"/>
  <c r="BH10" i="10"/>
  <c r="BB10" i="10"/>
  <c r="AP10" i="10"/>
  <c r="AW10" i="10"/>
  <c r="AS10" i="10"/>
  <c r="BE10" i="10"/>
  <c r="BD10" i="10"/>
  <c r="BG10" i="10"/>
  <c r="AQ10" i="10"/>
  <c r="AU10" i="10"/>
  <c r="BA10" i="10"/>
  <c r="AV10" i="10"/>
  <c r="BI10" i="10"/>
  <c r="AZ10" i="10"/>
  <c r="AY10" i="10"/>
  <c r="AT10" i="10"/>
  <c r="AX10" i="10"/>
  <c r="BC10" i="10"/>
  <c r="AR10" i="10"/>
  <c r="AV3" i="15"/>
  <c r="AU23" i="12"/>
  <c r="AU21" i="12"/>
  <c r="AU16" i="12"/>
  <c r="AU18" i="12"/>
  <c r="AU26" i="12"/>
  <c r="AU28" i="12"/>
  <c r="BC46" i="3"/>
  <c r="AV20" i="12"/>
  <c r="BC45" i="3"/>
  <c r="AV15" i="12"/>
  <c r="BC47" i="3"/>
  <c r="AV25" i="12"/>
  <c r="AU11" i="12"/>
  <c r="AU13" i="12"/>
  <c r="BC44" i="3"/>
  <c r="AV10" i="12"/>
  <c r="BC3" i="3"/>
  <c r="BD4" i="3"/>
  <c r="BD3" i="8" s="1"/>
  <c r="BB19" i="14" l="1"/>
  <c r="CK39" i="3"/>
  <c r="F25" i="13"/>
  <c r="BE18" i="8"/>
  <c r="BB20" i="14" s="1"/>
  <c r="BA20" i="14"/>
  <c r="BB52" i="3"/>
  <c r="AY9" i="14"/>
  <c r="BE6" i="8"/>
  <c r="BB8" i="14" s="1"/>
  <c r="BA8" i="14"/>
  <c r="BD55" i="3"/>
  <c r="A100" i="24"/>
  <c r="A698" i="13"/>
  <c r="M193" i="13"/>
  <c r="O194" i="13"/>
  <c r="O193" i="13"/>
  <c r="K193" i="13"/>
  <c r="F195" i="13"/>
  <c r="F5" i="13"/>
  <c r="I194" i="13"/>
  <c r="M194" i="13"/>
  <c r="M192" i="13"/>
  <c r="K194" i="13"/>
  <c r="I193" i="13"/>
  <c r="O192" i="13"/>
  <c r="K192" i="13"/>
  <c r="I192" i="13"/>
  <c r="K196" i="13"/>
  <c r="I196" i="13"/>
  <c r="O196" i="13"/>
  <c r="M196" i="13"/>
  <c r="DB39" i="3"/>
  <c r="CI39" i="3"/>
  <c r="BE50" i="3"/>
  <c r="BO5" i="8"/>
  <c r="BE9" i="8"/>
  <c r="BB11" i="14" s="1"/>
  <c r="BD54" i="3"/>
  <c r="BD51" i="3"/>
  <c r="AV6" i="12"/>
  <c r="BC43" i="3"/>
  <c r="AW5" i="12" s="1"/>
  <c r="AW6" i="12" s="1"/>
  <c r="BC7" i="8"/>
  <c r="BE4" i="8"/>
  <c r="BB6" i="14" s="1"/>
  <c r="BD49" i="3"/>
  <c r="BE8" i="8"/>
  <c r="BB10" i="14" s="1"/>
  <c r="BD53" i="3"/>
  <c r="AV11" i="12"/>
  <c r="AV13" i="12"/>
  <c r="AV26" i="12"/>
  <c r="AV28" i="12"/>
  <c r="BD47" i="3"/>
  <c r="AW25" i="12"/>
  <c r="BD44" i="3"/>
  <c r="AW10" i="12"/>
  <c r="AV16" i="12"/>
  <c r="AV18" i="12"/>
  <c r="BD45" i="3"/>
  <c r="AW15" i="12"/>
  <c r="AV21" i="12"/>
  <c r="AV23" i="12"/>
  <c r="BD46" i="3"/>
  <c r="AW20" i="12"/>
  <c r="BD3" i="3"/>
  <c r="BE4" i="3"/>
  <c r="BO18" i="8" l="1"/>
  <c r="BO6" i="8"/>
  <c r="N224" i="13" s="1"/>
  <c r="G224" i="13" s="1"/>
  <c r="BE51" i="3"/>
  <c r="BC52" i="3"/>
  <c r="AZ9" i="14"/>
  <c r="BO4" i="8"/>
  <c r="N382" i="13" s="1"/>
  <c r="G382" i="13" s="1"/>
  <c r="A101" i="24"/>
  <c r="A699" i="13"/>
  <c r="P193" i="13"/>
  <c r="P194" i="13"/>
  <c r="P192" i="13"/>
  <c r="P196" i="13"/>
  <c r="M195" i="13"/>
  <c r="K195" i="13"/>
  <c r="I195" i="13"/>
  <c r="O195" i="13"/>
  <c r="N603" i="13"/>
  <c r="G603" i="13" s="1"/>
  <c r="K603" i="13" s="1"/>
  <c r="N605" i="13"/>
  <c r="G605" i="13" s="1"/>
  <c r="N602" i="13"/>
  <c r="G602" i="13" s="1"/>
  <c r="K602" i="13" s="1"/>
  <c r="V11" i="13" s="1"/>
  <c r="N604" i="13"/>
  <c r="G604" i="13" s="1"/>
  <c r="N263" i="13"/>
  <c r="G263" i="13" s="1"/>
  <c r="N303" i="13"/>
  <c r="G303" i="13" s="1"/>
  <c r="N343" i="13"/>
  <c r="G343" i="13" s="1"/>
  <c r="N383" i="13"/>
  <c r="G383" i="13" s="1"/>
  <c r="N423" i="13"/>
  <c r="G423" i="13" s="1"/>
  <c r="N463" i="13"/>
  <c r="G463" i="13" s="1"/>
  <c r="N503" i="13"/>
  <c r="G503" i="13" s="1"/>
  <c r="N543" i="13"/>
  <c r="G543" i="13" s="1"/>
  <c r="N583" i="13"/>
  <c r="G583" i="13" s="1"/>
  <c r="N243" i="13"/>
  <c r="G243" i="13" s="1"/>
  <c r="N283" i="13"/>
  <c r="G283" i="13" s="1"/>
  <c r="N323" i="13"/>
  <c r="G323" i="13" s="1"/>
  <c r="N363" i="13"/>
  <c r="G363" i="13" s="1"/>
  <c r="N403" i="13"/>
  <c r="G403" i="13" s="1"/>
  <c r="N443" i="13"/>
  <c r="G443" i="13" s="1"/>
  <c r="N483" i="13"/>
  <c r="G483" i="13" s="1"/>
  <c r="N523" i="13"/>
  <c r="G523" i="13" s="1"/>
  <c r="N563" i="13"/>
  <c r="G563" i="13" s="1"/>
  <c r="N226" i="13"/>
  <c r="G226" i="13" s="1"/>
  <c r="N234" i="13"/>
  <c r="G234" i="13" s="1"/>
  <c r="N227" i="13"/>
  <c r="G227" i="13" s="1"/>
  <c r="N235" i="13"/>
  <c r="G235" i="13" s="1"/>
  <c r="N228" i="13"/>
  <c r="G228" i="13" s="1"/>
  <c r="N236" i="13"/>
  <c r="G236" i="13" s="1"/>
  <c r="N229" i="13"/>
  <c r="G229" i="13" s="1"/>
  <c r="N237" i="13"/>
  <c r="G237" i="13" s="1"/>
  <c r="N230" i="13"/>
  <c r="G230" i="13" s="1"/>
  <c r="N238" i="13"/>
  <c r="G238" i="13" s="1"/>
  <c r="N232" i="13"/>
  <c r="G232" i="13" s="1"/>
  <c r="N240" i="13"/>
  <c r="G240" i="13" s="1"/>
  <c r="N225" i="13"/>
  <c r="G225" i="13" s="1"/>
  <c r="N233" i="13"/>
  <c r="G233" i="13" s="1"/>
  <c r="N241" i="13"/>
  <c r="G241" i="13" s="1"/>
  <c r="N223" i="13"/>
  <c r="G223" i="13" s="1"/>
  <c r="N231" i="13"/>
  <c r="G231" i="13" s="1"/>
  <c r="N239" i="13"/>
  <c r="G239" i="13" s="1"/>
  <c r="N210" i="13"/>
  <c r="G210" i="13" s="1"/>
  <c r="N218" i="13"/>
  <c r="G218" i="13" s="1"/>
  <c r="N203" i="13"/>
  <c r="G203" i="13" s="1"/>
  <c r="N211" i="13"/>
  <c r="G211" i="13" s="1"/>
  <c r="N219" i="13"/>
  <c r="G219" i="13" s="1"/>
  <c r="N212" i="13"/>
  <c r="G212" i="13" s="1"/>
  <c r="N220" i="13"/>
  <c r="G220" i="13" s="1"/>
  <c r="N205" i="13"/>
  <c r="G205" i="13" s="1"/>
  <c r="N213" i="13"/>
  <c r="G213" i="13" s="1"/>
  <c r="N221" i="13"/>
  <c r="G221" i="13" s="1"/>
  <c r="N206" i="13"/>
  <c r="G206" i="13" s="1"/>
  <c r="N214" i="13"/>
  <c r="G214" i="13" s="1"/>
  <c r="N208" i="13"/>
  <c r="G208" i="13" s="1"/>
  <c r="N216" i="13"/>
  <c r="G216" i="13" s="1"/>
  <c r="N209" i="13"/>
  <c r="G209" i="13" s="1"/>
  <c r="N217" i="13"/>
  <c r="G217" i="13" s="1"/>
  <c r="N207" i="13"/>
  <c r="G207" i="13" s="1"/>
  <c r="N215" i="13"/>
  <c r="G215" i="13" s="1"/>
  <c r="N19" i="13"/>
  <c r="G19" i="13" s="1"/>
  <c r="N12" i="13"/>
  <c r="G12" i="13" s="1"/>
  <c r="N20" i="13"/>
  <c r="G20" i="13" s="1"/>
  <c r="N13" i="13"/>
  <c r="G13" i="13" s="1"/>
  <c r="N21" i="13"/>
  <c r="G21" i="13" s="1"/>
  <c r="N14" i="13"/>
  <c r="G14" i="13" s="1"/>
  <c r="N18" i="13"/>
  <c r="G18" i="13" s="1"/>
  <c r="N15" i="13"/>
  <c r="G15" i="13" s="1"/>
  <c r="N16" i="13"/>
  <c r="G16" i="13" s="1"/>
  <c r="N17" i="13"/>
  <c r="G17" i="13" s="1"/>
  <c r="BE53" i="3"/>
  <c r="BO8" i="8"/>
  <c r="BE54" i="3"/>
  <c r="BO9" i="8"/>
  <c r="BE49" i="3"/>
  <c r="BE55" i="3"/>
  <c r="BD43" i="3"/>
  <c r="AX5" i="12" s="1"/>
  <c r="AX6" i="12" s="1"/>
  <c r="AW8" i="12"/>
  <c r="BD7" i="8"/>
  <c r="BE47" i="3"/>
  <c r="AY25" i="12" s="1"/>
  <c r="AX25" i="12"/>
  <c r="AW28" i="12"/>
  <c r="AW26" i="12"/>
  <c r="AW21" i="12"/>
  <c r="AW23" i="12"/>
  <c r="BE46" i="3"/>
  <c r="AY20" i="12" s="1"/>
  <c r="AX20" i="12"/>
  <c r="AW11" i="12"/>
  <c r="AW13" i="12"/>
  <c r="BE44" i="3"/>
  <c r="AY10" i="12" s="1"/>
  <c r="AX10" i="12"/>
  <c r="AW16" i="12"/>
  <c r="AW18" i="12"/>
  <c r="BE45" i="3"/>
  <c r="AY15" i="12" s="1"/>
  <c r="AX15" i="12"/>
  <c r="BE3" i="3"/>
  <c r="BE3" i="8"/>
  <c r="BC39" i="1"/>
  <c r="BB39" i="1"/>
  <c r="BD39" i="1"/>
  <c r="N204" i="13" l="1"/>
  <c r="G204" i="13" s="1"/>
  <c r="N302" i="13"/>
  <c r="G302" i="13" s="1"/>
  <c r="N262" i="13"/>
  <c r="G262" i="13" s="1"/>
  <c r="N6" i="13"/>
  <c r="G6" i="13" s="1"/>
  <c r="M6" i="13" s="1"/>
  <c r="N5" i="13"/>
  <c r="G5" i="13" s="1"/>
  <c r="I5" i="13" s="1"/>
  <c r="N202" i="13"/>
  <c r="G202" i="13" s="1"/>
  <c r="N11" i="13"/>
  <c r="G11" i="13" s="1"/>
  <c r="N3" i="13"/>
  <c r="G3" i="13" s="1"/>
  <c r="M3" i="13" s="1"/>
  <c r="N282" i="13"/>
  <c r="G282" i="13" s="1"/>
  <c r="N10" i="13"/>
  <c r="G10" i="13" s="1"/>
  <c r="N222" i="13"/>
  <c r="G222" i="13" s="1"/>
  <c r="N8" i="13"/>
  <c r="G8" i="13" s="1"/>
  <c r="N562" i="13"/>
  <c r="G562" i="13" s="1"/>
  <c r="N7" i="13"/>
  <c r="G7" i="13" s="1"/>
  <c r="N322" i="13"/>
  <c r="G322" i="13" s="1"/>
  <c r="N242" i="13"/>
  <c r="G242" i="13" s="1"/>
  <c r="N522" i="13"/>
  <c r="G522" i="13" s="1"/>
  <c r="N582" i="13"/>
  <c r="G582" i="13" s="1"/>
  <c r="N4" i="13"/>
  <c r="G4" i="13" s="1"/>
  <c r="M4" i="13" s="1"/>
  <c r="N482" i="13"/>
  <c r="G482" i="13" s="1"/>
  <c r="N542" i="13"/>
  <c r="G542" i="13" s="1"/>
  <c r="N442" i="13"/>
  <c r="G442" i="13" s="1"/>
  <c r="N502" i="13"/>
  <c r="G502" i="13" s="1"/>
  <c r="N402" i="13"/>
  <c r="G402" i="13" s="1"/>
  <c r="N462" i="13"/>
  <c r="G462" i="13" s="1"/>
  <c r="N9" i="13"/>
  <c r="G9" i="13" s="1"/>
  <c r="N2" i="13"/>
  <c r="G2" i="13" s="1"/>
  <c r="K2" i="13" s="1"/>
  <c r="N362" i="13"/>
  <c r="G362" i="13" s="1"/>
  <c r="N422" i="13"/>
  <c r="G422" i="13" s="1"/>
  <c r="N342" i="13"/>
  <c r="G342" i="13" s="1"/>
  <c r="N364" i="13"/>
  <c r="G364" i="13" s="1"/>
  <c r="N324" i="13"/>
  <c r="G324" i="13" s="1"/>
  <c r="N444" i="13"/>
  <c r="G444" i="13" s="1"/>
  <c r="N404" i="13"/>
  <c r="G404" i="13" s="1"/>
  <c r="N284" i="13"/>
  <c r="G284" i="13" s="1"/>
  <c r="N524" i="13"/>
  <c r="G524" i="13" s="1"/>
  <c r="N484" i="13"/>
  <c r="G484" i="13" s="1"/>
  <c r="N26" i="13"/>
  <c r="G26" i="13" s="1"/>
  <c r="N264" i="13"/>
  <c r="G264" i="13" s="1"/>
  <c r="N304" i="13"/>
  <c r="G304" i="13" s="1"/>
  <c r="N564" i="13"/>
  <c r="G564" i="13" s="1"/>
  <c r="N27" i="13"/>
  <c r="G27" i="13" s="1"/>
  <c r="N28" i="13"/>
  <c r="G28" i="13" s="1"/>
  <c r="N344" i="13"/>
  <c r="G344" i="13" s="1"/>
  <c r="N384" i="13"/>
  <c r="G384" i="13" s="1"/>
  <c r="N23" i="13"/>
  <c r="G23" i="13" s="1"/>
  <c r="N24" i="13"/>
  <c r="G24" i="13" s="1"/>
  <c r="N584" i="13"/>
  <c r="G584" i="13" s="1"/>
  <c r="N30" i="13"/>
  <c r="G30" i="13" s="1"/>
  <c r="N424" i="13"/>
  <c r="G424" i="13" s="1"/>
  <c r="N464" i="13"/>
  <c r="G464" i="13" s="1"/>
  <c r="N31" i="13"/>
  <c r="G31" i="13" s="1"/>
  <c r="N25" i="13"/>
  <c r="G25" i="13" s="1"/>
  <c r="N244" i="13"/>
  <c r="G244" i="13" s="1"/>
  <c r="N22" i="13"/>
  <c r="G22" i="13" s="1"/>
  <c r="N29" i="13"/>
  <c r="G29" i="13" s="1"/>
  <c r="N504" i="13"/>
  <c r="G504" i="13" s="1"/>
  <c r="N544" i="13"/>
  <c r="G544" i="13" s="1"/>
  <c r="BD52" i="3"/>
  <c r="BA9" i="14"/>
  <c r="A102" i="24"/>
  <c r="A701" i="13" s="1"/>
  <c r="A700" i="13"/>
  <c r="P195" i="13"/>
  <c r="I603" i="13"/>
  <c r="O603" i="13"/>
  <c r="M603" i="13"/>
  <c r="M602" i="13"/>
  <c r="W11" i="13" s="1"/>
  <c r="O602" i="13"/>
  <c r="X11" i="13" s="1"/>
  <c r="I602" i="13"/>
  <c r="U11" i="13" s="1"/>
  <c r="O605" i="13"/>
  <c r="I605" i="13"/>
  <c r="M605" i="13"/>
  <c r="K605" i="13"/>
  <c r="M604" i="13"/>
  <c r="W12" i="13" s="1"/>
  <c r="O604" i="13"/>
  <c r="X12" i="13" s="1"/>
  <c r="I604" i="13"/>
  <c r="U12" i="13" s="1"/>
  <c r="K604" i="13"/>
  <c r="V12" i="13" s="1"/>
  <c r="M14" i="13"/>
  <c r="O14" i="13"/>
  <c r="M12" i="13"/>
  <c r="O12" i="13"/>
  <c r="M15" i="13"/>
  <c r="O15" i="13"/>
  <c r="M13" i="13"/>
  <c r="O13" i="13"/>
  <c r="M16" i="13"/>
  <c r="O16" i="13"/>
  <c r="I14" i="13"/>
  <c r="K14" i="13"/>
  <c r="I12" i="13"/>
  <c r="K12" i="13"/>
  <c r="I15" i="13"/>
  <c r="K15" i="13"/>
  <c r="K4" i="13"/>
  <c r="I13" i="13"/>
  <c r="K13" i="13"/>
  <c r="I16" i="13"/>
  <c r="K16" i="13"/>
  <c r="BE43" i="3"/>
  <c r="AY5" i="12" s="1"/>
  <c r="AY8" i="12" s="1"/>
  <c r="AX8" i="12"/>
  <c r="BE7" i="8"/>
  <c r="BB9" i="14" s="1"/>
  <c r="AZ25" i="12"/>
  <c r="AP27" i="12" s="1"/>
  <c r="AP29" i="12" s="1"/>
  <c r="AZ20" i="12"/>
  <c r="AZ10" i="12"/>
  <c r="AD12" i="12" s="1"/>
  <c r="AD14" i="12" s="1"/>
  <c r="AZ15" i="12"/>
  <c r="H17" i="12" s="1"/>
  <c r="H19" i="12" s="1"/>
  <c r="AX16" i="12"/>
  <c r="AX18" i="12"/>
  <c r="AX11" i="12"/>
  <c r="AX13" i="12"/>
  <c r="AY18" i="12"/>
  <c r="AY16" i="12"/>
  <c r="AX21" i="12"/>
  <c r="AX23" i="12"/>
  <c r="AX26" i="12"/>
  <c r="AX28" i="12"/>
  <c r="AY11" i="12"/>
  <c r="AY13" i="12"/>
  <c r="AY21" i="12"/>
  <c r="AY23" i="12"/>
  <c r="AY26" i="12"/>
  <c r="AY28" i="12"/>
  <c r="M5" i="13" l="1"/>
  <c r="O2" i="13"/>
  <c r="M2" i="13"/>
  <c r="O5" i="13"/>
  <c r="O3" i="13"/>
  <c r="K5" i="13"/>
  <c r="K6" i="13"/>
  <c r="O4" i="13"/>
  <c r="K3" i="13"/>
  <c r="O6" i="13"/>
  <c r="I6" i="13"/>
  <c r="I3" i="13"/>
  <c r="I2" i="13"/>
  <c r="I4" i="13"/>
  <c r="K23" i="13"/>
  <c r="O23" i="13"/>
  <c r="I23" i="13"/>
  <c r="M23" i="13"/>
  <c r="K26" i="13"/>
  <c r="O26" i="13"/>
  <c r="M26" i="13"/>
  <c r="I26" i="13"/>
  <c r="K25" i="13"/>
  <c r="O25" i="13"/>
  <c r="I25" i="13"/>
  <c r="M25" i="13"/>
  <c r="O22" i="13"/>
  <c r="M22" i="13"/>
  <c r="I22" i="13"/>
  <c r="K22" i="13"/>
  <c r="O24" i="13"/>
  <c r="K24" i="13"/>
  <c r="M24" i="13"/>
  <c r="I24" i="13"/>
  <c r="P602" i="13"/>
  <c r="AZ26" i="12"/>
  <c r="P603" i="13"/>
  <c r="Y9" i="13"/>
  <c r="Y12" i="13"/>
  <c r="Y11" i="13"/>
  <c r="Y13" i="13"/>
  <c r="P605" i="13"/>
  <c r="P604" i="13"/>
  <c r="P211" i="13"/>
  <c r="P223" i="13"/>
  <c r="P238" i="13"/>
  <c r="P226" i="13"/>
  <c r="P206" i="13"/>
  <c r="P219" i="13"/>
  <c r="P231" i="13"/>
  <c r="P224" i="13"/>
  <c r="P228" i="13"/>
  <c r="P209" i="13"/>
  <c r="P235" i="13"/>
  <c r="P216" i="13"/>
  <c r="P205" i="13"/>
  <c r="P220" i="13"/>
  <c r="P218" i="13"/>
  <c r="P233" i="13"/>
  <c r="P222" i="13"/>
  <c r="P234" i="13"/>
  <c r="P214" i="13"/>
  <c r="P204" i="13"/>
  <c r="P239" i="13"/>
  <c r="P232" i="13"/>
  <c r="P241" i="13"/>
  <c r="P230" i="13"/>
  <c r="P227" i="13"/>
  <c r="P208" i="13"/>
  <c r="P212" i="13"/>
  <c r="P202" i="13"/>
  <c r="P240" i="13"/>
  <c r="P210" i="13"/>
  <c r="P225" i="13"/>
  <c r="P237" i="13"/>
  <c r="P236" i="13"/>
  <c r="P217" i="13"/>
  <c r="P213" i="13"/>
  <c r="P203" i="13"/>
  <c r="P229" i="13"/>
  <c r="P207" i="13"/>
  <c r="P221" i="13"/>
  <c r="P215" i="13"/>
  <c r="P14" i="13"/>
  <c r="P15" i="13"/>
  <c r="P16" i="13"/>
  <c r="P13" i="13"/>
  <c r="P12" i="13"/>
  <c r="BE52" i="3"/>
  <c r="BO7" i="8"/>
  <c r="AZ21" i="12"/>
  <c r="AZ16" i="12"/>
  <c r="AZ11" i="12"/>
  <c r="AY6" i="12"/>
  <c r="AZ6" i="12" s="1"/>
  <c r="AZ5" i="12"/>
  <c r="AC7" i="12" s="1"/>
  <c r="AC9" i="12" s="1"/>
  <c r="AZ8" i="12"/>
  <c r="U27" i="12"/>
  <c r="U29" i="12" s="1"/>
  <c r="K27" i="12"/>
  <c r="K29" i="12" s="1"/>
  <c r="AG27" i="12"/>
  <c r="AG29" i="12" s="1"/>
  <c r="AO27" i="12"/>
  <c r="AO29" i="12" s="1"/>
  <c r="X27" i="12"/>
  <c r="X29" i="12" s="1"/>
  <c r="Y27" i="12"/>
  <c r="Y29" i="12" s="1"/>
  <c r="H27" i="12"/>
  <c r="H29" i="12" s="1"/>
  <c r="Q27" i="12"/>
  <c r="Q29" i="12" s="1"/>
  <c r="I27" i="12"/>
  <c r="I29" i="12" s="1"/>
  <c r="AR27" i="12"/>
  <c r="AR29" i="12" s="1"/>
  <c r="AV27" i="12"/>
  <c r="AV29" i="12" s="1"/>
  <c r="V27" i="12"/>
  <c r="V29" i="12" s="1"/>
  <c r="W27" i="12"/>
  <c r="W29" i="12" s="1"/>
  <c r="AW27" i="12"/>
  <c r="AW29" i="12" s="1"/>
  <c r="AS27" i="12"/>
  <c r="AS29" i="12" s="1"/>
  <c r="AN27" i="12"/>
  <c r="AN29" i="12" s="1"/>
  <c r="S27" i="12"/>
  <c r="S29" i="12" s="1"/>
  <c r="AA27" i="12"/>
  <c r="AA29" i="12" s="1"/>
  <c r="N27" i="12"/>
  <c r="N29" i="12" s="1"/>
  <c r="G27" i="12"/>
  <c r="G29" i="12" s="1"/>
  <c r="F27" i="12"/>
  <c r="F29" i="12" s="1"/>
  <c r="R27" i="12"/>
  <c r="R29" i="12" s="1"/>
  <c r="E27" i="12"/>
  <c r="E29" i="12" s="1"/>
  <c r="AJ27" i="12"/>
  <c r="AJ29" i="12" s="1"/>
  <c r="O27" i="12"/>
  <c r="O29" i="12" s="1"/>
  <c r="D27" i="12"/>
  <c r="D29" i="12" s="1"/>
  <c r="M27" i="12"/>
  <c r="M29" i="12" s="1"/>
  <c r="AK27" i="12"/>
  <c r="AK29" i="12" s="1"/>
  <c r="J27" i="12"/>
  <c r="J29" i="12" s="1"/>
  <c r="AE27" i="12"/>
  <c r="AE29" i="12" s="1"/>
  <c r="AC27" i="12"/>
  <c r="AC29" i="12" s="1"/>
  <c r="AM27" i="12"/>
  <c r="AM29" i="12" s="1"/>
  <c r="AD27" i="12"/>
  <c r="AD29" i="12" s="1"/>
  <c r="P27" i="12"/>
  <c r="P29" i="12" s="1"/>
  <c r="AU27" i="12"/>
  <c r="AU29" i="12" s="1"/>
  <c r="T27" i="12"/>
  <c r="T29" i="12" s="1"/>
  <c r="AH27" i="12"/>
  <c r="AH29" i="12" s="1"/>
  <c r="L27" i="12"/>
  <c r="L29" i="12" s="1"/>
  <c r="Z27" i="12"/>
  <c r="Z29" i="12" s="1"/>
  <c r="AB27" i="12"/>
  <c r="AB29" i="12" s="1"/>
  <c r="AI27" i="12"/>
  <c r="AI29" i="12" s="1"/>
  <c r="AF27" i="12"/>
  <c r="AF29" i="12" s="1"/>
  <c r="AT27" i="12"/>
  <c r="AT29" i="12" s="1"/>
  <c r="AL27" i="12"/>
  <c r="AL29" i="12" s="1"/>
  <c r="AY27" i="12"/>
  <c r="AY29" i="12" s="1"/>
  <c r="AQ27" i="12"/>
  <c r="AQ29" i="12" s="1"/>
  <c r="AX27" i="12"/>
  <c r="AX29" i="12" s="1"/>
  <c r="H12" i="12"/>
  <c r="H14" i="12" s="1"/>
  <c r="L12" i="12"/>
  <c r="L14" i="12" s="1"/>
  <c r="AW12" i="12"/>
  <c r="AW14" i="12" s="1"/>
  <c r="N12" i="12"/>
  <c r="N14" i="12" s="1"/>
  <c r="I12" i="12"/>
  <c r="I14" i="12" s="1"/>
  <c r="X12" i="12"/>
  <c r="X14" i="12" s="1"/>
  <c r="AX12" i="12"/>
  <c r="AX14" i="12" s="1"/>
  <c r="W12" i="12"/>
  <c r="W14" i="12" s="1"/>
  <c r="M12" i="12"/>
  <c r="M14" i="12" s="1"/>
  <c r="U12" i="12"/>
  <c r="U14" i="12" s="1"/>
  <c r="P12" i="12"/>
  <c r="P14" i="12" s="1"/>
  <c r="AQ12" i="12"/>
  <c r="AQ14" i="12" s="1"/>
  <c r="R12" i="12"/>
  <c r="R14" i="12" s="1"/>
  <c r="AT12" i="12"/>
  <c r="AT14" i="12" s="1"/>
  <c r="AU12" i="12"/>
  <c r="AU14" i="12" s="1"/>
  <c r="E12" i="12"/>
  <c r="E14" i="12" s="1"/>
  <c r="AH12" i="12"/>
  <c r="AH14" i="12" s="1"/>
  <c r="I17" i="12"/>
  <c r="I19" i="12" s="1"/>
  <c r="P17" i="12"/>
  <c r="P19" i="12" s="1"/>
  <c r="F17" i="12"/>
  <c r="F19" i="12" s="1"/>
  <c r="AU17" i="12"/>
  <c r="AU19" i="12" s="1"/>
  <c r="AG17" i="12"/>
  <c r="AG19" i="12" s="1"/>
  <c r="AM17" i="12"/>
  <c r="AM19" i="12" s="1"/>
  <c r="O17" i="12"/>
  <c r="O19" i="12" s="1"/>
  <c r="S17" i="12"/>
  <c r="S19" i="12" s="1"/>
  <c r="AW17" i="12"/>
  <c r="AW19" i="12" s="1"/>
  <c r="AF17" i="12"/>
  <c r="AF19" i="12" s="1"/>
  <c r="AY17" i="12"/>
  <c r="AY19" i="12" s="1"/>
  <c r="K17" i="12"/>
  <c r="K19" i="12" s="1"/>
  <c r="V17" i="12"/>
  <c r="V19" i="12" s="1"/>
  <c r="Y17" i="12"/>
  <c r="Y19" i="12" s="1"/>
  <c r="AS17" i="12"/>
  <c r="AS19" i="12" s="1"/>
  <c r="X17" i="12"/>
  <c r="X19" i="12" s="1"/>
  <c r="AE17" i="12"/>
  <c r="AE19" i="12" s="1"/>
  <c r="AB17" i="12"/>
  <c r="AB19" i="12" s="1"/>
  <c r="AA17" i="12"/>
  <c r="AA19" i="12" s="1"/>
  <c r="W17" i="12"/>
  <c r="W19" i="12" s="1"/>
  <c r="Z17" i="12"/>
  <c r="Z19" i="12" s="1"/>
  <c r="AC17" i="12"/>
  <c r="AC19" i="12" s="1"/>
  <c r="AJ17" i="12"/>
  <c r="AJ19" i="12" s="1"/>
  <c r="AN17" i="12"/>
  <c r="AN19" i="12" s="1"/>
  <c r="AK17" i="12"/>
  <c r="AK19" i="12" s="1"/>
  <c r="AT17" i="12"/>
  <c r="AT19" i="12" s="1"/>
  <c r="AX17" i="12"/>
  <c r="AX19" i="12" s="1"/>
  <c r="T17" i="12"/>
  <c r="T19" i="12" s="1"/>
  <c r="AD17" i="12"/>
  <c r="AD19" i="12" s="1"/>
  <c r="AZ23" i="12"/>
  <c r="AL17" i="12"/>
  <c r="AL19" i="12" s="1"/>
  <c r="Q17" i="12"/>
  <c r="Q19" i="12" s="1"/>
  <c r="D17" i="12"/>
  <c r="D19" i="12" s="1"/>
  <c r="E17" i="12"/>
  <c r="E19" i="12" s="1"/>
  <c r="AR17" i="12"/>
  <c r="AR19" i="12" s="1"/>
  <c r="AZ28" i="12"/>
  <c r="AZ13" i="12"/>
  <c r="AO17" i="12"/>
  <c r="AO19" i="12" s="1"/>
  <c r="AQ17" i="12"/>
  <c r="AQ19" i="12" s="1"/>
  <c r="R17" i="12"/>
  <c r="R19" i="12" s="1"/>
  <c r="M17" i="12"/>
  <c r="M19" i="12" s="1"/>
  <c r="G17" i="12"/>
  <c r="G19" i="12" s="1"/>
  <c r="AP12" i="12"/>
  <c r="AP14" i="12" s="1"/>
  <c r="O12" i="12"/>
  <c r="O14" i="12" s="1"/>
  <c r="Q12" i="12"/>
  <c r="Q14" i="12" s="1"/>
  <c r="G12" i="12"/>
  <c r="G14" i="12" s="1"/>
  <c r="AL12" i="12"/>
  <c r="AL14" i="12" s="1"/>
  <c r="U17" i="12"/>
  <c r="U19" i="12" s="1"/>
  <c r="AR12" i="12"/>
  <c r="AR14" i="12" s="1"/>
  <c r="AI12" i="12"/>
  <c r="AI14" i="12" s="1"/>
  <c r="AG12" i="12"/>
  <c r="AG14" i="12" s="1"/>
  <c r="AY12" i="12"/>
  <c r="AY14" i="12" s="1"/>
  <c r="AF12" i="12"/>
  <c r="AF14" i="12" s="1"/>
  <c r="L17" i="12"/>
  <c r="L19" i="12" s="1"/>
  <c r="Z12" i="12"/>
  <c r="Z14" i="12" s="1"/>
  <c r="AM12" i="12"/>
  <c r="AM14" i="12" s="1"/>
  <c r="K12" i="12"/>
  <c r="K14" i="12" s="1"/>
  <c r="AA12" i="12"/>
  <c r="AA14" i="12" s="1"/>
  <c r="S12" i="12"/>
  <c r="S14" i="12" s="1"/>
  <c r="Y12" i="12"/>
  <c r="Y14" i="12" s="1"/>
  <c r="AV12" i="12"/>
  <c r="AV14" i="12" s="1"/>
  <c r="AN12" i="12"/>
  <c r="AN14" i="12" s="1"/>
  <c r="AB12" i="12"/>
  <c r="AB14" i="12" s="1"/>
  <c r="AO12" i="12"/>
  <c r="AO14" i="12" s="1"/>
  <c r="AC12" i="12"/>
  <c r="AC14" i="12" s="1"/>
  <c r="J12" i="12"/>
  <c r="J14" i="12" s="1"/>
  <c r="T12" i="12"/>
  <c r="T14" i="12" s="1"/>
  <c r="AK12" i="12"/>
  <c r="AK14" i="12" s="1"/>
  <c r="V12" i="12"/>
  <c r="V14" i="12" s="1"/>
  <c r="AV17" i="12"/>
  <c r="AV19" i="12" s="1"/>
  <c r="AZ18" i="12"/>
  <c r="AS12" i="12"/>
  <c r="AS14" i="12" s="1"/>
  <c r="AJ12" i="12"/>
  <c r="AJ14" i="12" s="1"/>
  <c r="AE12" i="12"/>
  <c r="AE14" i="12" s="1"/>
  <c r="F12" i="12"/>
  <c r="F14" i="12" s="1"/>
  <c r="D12" i="12"/>
  <c r="D14" i="12" s="1"/>
  <c r="AH17" i="12"/>
  <c r="AH19" i="12" s="1"/>
  <c r="J17" i="12"/>
  <c r="J19" i="12" s="1"/>
  <c r="N17" i="12"/>
  <c r="N19" i="12" s="1"/>
  <c r="AP17" i="12"/>
  <c r="AP19" i="12" s="1"/>
  <c r="AI17" i="12"/>
  <c r="AI19" i="12" s="1"/>
  <c r="AN22" i="12"/>
  <c r="AN24" i="12" s="1"/>
  <c r="P22" i="12"/>
  <c r="P24" i="12" s="1"/>
  <c r="M22" i="12"/>
  <c r="M24" i="12" s="1"/>
  <c r="V22" i="12"/>
  <c r="V24" i="12" s="1"/>
  <c r="AC22" i="12"/>
  <c r="AC24" i="12" s="1"/>
  <c r="AK22" i="12"/>
  <c r="AK24" i="12" s="1"/>
  <c r="Y22" i="12"/>
  <c r="Y24" i="12" s="1"/>
  <c r="AO22" i="12"/>
  <c r="AO24" i="12" s="1"/>
  <c r="AV22" i="12"/>
  <c r="AV24" i="12" s="1"/>
  <c r="AA22" i="12"/>
  <c r="AA24" i="12" s="1"/>
  <c r="S22" i="12"/>
  <c r="S24" i="12" s="1"/>
  <c r="AI22" i="12"/>
  <c r="AI24" i="12" s="1"/>
  <c r="I22" i="12"/>
  <c r="I24" i="12" s="1"/>
  <c r="T22" i="12"/>
  <c r="T24" i="12" s="1"/>
  <c r="U22" i="12"/>
  <c r="U24" i="12" s="1"/>
  <c r="AG22" i="12"/>
  <c r="AG24" i="12" s="1"/>
  <c r="W22" i="12"/>
  <c r="W24" i="12" s="1"/>
  <c r="L22" i="12"/>
  <c r="L24" i="12" s="1"/>
  <c r="E22" i="12"/>
  <c r="E24" i="12" s="1"/>
  <c r="AM22" i="12"/>
  <c r="AM24" i="12" s="1"/>
  <c r="AR22" i="12"/>
  <c r="AR24" i="12" s="1"/>
  <c r="AP22" i="12"/>
  <c r="AP24" i="12" s="1"/>
  <c r="X22" i="12"/>
  <c r="X24" i="12" s="1"/>
  <c r="AL22" i="12"/>
  <c r="AL24" i="12" s="1"/>
  <c r="AS22" i="12"/>
  <c r="AS24" i="12" s="1"/>
  <c r="AX22" i="12"/>
  <c r="AX24" i="12" s="1"/>
  <c r="D22" i="12"/>
  <c r="K22" i="12"/>
  <c r="K24" i="12" s="1"/>
  <c r="Q22" i="12"/>
  <c r="Q24" i="12" s="1"/>
  <c r="F22" i="12"/>
  <c r="F24" i="12" s="1"/>
  <c r="AD22" i="12"/>
  <c r="AD24" i="12" s="1"/>
  <c r="AE22" i="12"/>
  <c r="AE24" i="12" s="1"/>
  <c r="J22" i="12"/>
  <c r="J24" i="12" s="1"/>
  <c r="AT22" i="12"/>
  <c r="AT24" i="12" s="1"/>
  <c r="AQ22" i="12"/>
  <c r="AQ24" i="12" s="1"/>
  <c r="G22" i="12"/>
  <c r="G24" i="12" s="1"/>
  <c r="AB22" i="12"/>
  <c r="AB24" i="12" s="1"/>
  <c r="N22" i="12"/>
  <c r="N24" i="12" s="1"/>
  <c r="AJ22" i="12"/>
  <c r="AJ24" i="12" s="1"/>
  <c r="R22" i="12"/>
  <c r="R24" i="12" s="1"/>
  <c r="O22" i="12"/>
  <c r="O24" i="12" s="1"/>
  <c r="AW22" i="12"/>
  <c r="AW24" i="12" s="1"/>
  <c r="AY22" i="12"/>
  <c r="AY24" i="12" s="1"/>
  <c r="AH22" i="12"/>
  <c r="AH24" i="12" s="1"/>
  <c r="H22" i="12"/>
  <c r="H24" i="12" s="1"/>
  <c r="Z22" i="12"/>
  <c r="Z24" i="12" s="1"/>
  <c r="AU22" i="12"/>
  <c r="AU24" i="12" s="1"/>
  <c r="AF22" i="12"/>
  <c r="AF24" i="12" s="1"/>
  <c r="P5" i="13" l="1"/>
  <c r="P3" i="13"/>
  <c r="P2" i="13"/>
  <c r="P6" i="13"/>
  <c r="P4" i="13"/>
  <c r="P26" i="13"/>
  <c r="P22" i="13"/>
  <c r="P24" i="13"/>
  <c r="P25" i="13"/>
  <c r="P23" i="13"/>
  <c r="BY29" i="12"/>
  <c r="DF47" i="3" s="1"/>
  <c r="BV29" i="12"/>
  <c r="DC47" i="3" s="1"/>
  <c r="BW29" i="12"/>
  <c r="DD47" i="3" s="1"/>
  <c r="BX29" i="12"/>
  <c r="DE47" i="3" s="1"/>
  <c r="AZ29" i="12"/>
  <c r="BR29" i="12" s="1"/>
  <c r="BX24" i="12"/>
  <c r="DE46" i="3" s="1"/>
  <c r="BW24" i="12"/>
  <c r="DD46" i="3" s="1"/>
  <c r="BY24" i="12"/>
  <c r="DF46" i="3" s="1"/>
  <c r="BY19" i="12"/>
  <c r="DF45" i="3" s="1"/>
  <c r="BV19" i="12"/>
  <c r="DC45" i="3" s="1"/>
  <c r="BX19" i="12"/>
  <c r="DE45" i="3" s="1"/>
  <c r="BW19" i="12"/>
  <c r="DD45" i="3" s="1"/>
  <c r="BV14" i="12"/>
  <c r="DC44" i="3" s="1"/>
  <c r="BX14" i="12"/>
  <c r="DE44" i="3" s="1"/>
  <c r="BY14" i="12"/>
  <c r="DF44" i="3" s="1"/>
  <c r="BW14" i="12"/>
  <c r="DD44" i="3" s="1"/>
  <c r="G7" i="12"/>
  <c r="G9" i="12" s="1"/>
  <c r="P7" i="12"/>
  <c r="P9" i="12" s="1"/>
  <c r="AT7" i="12"/>
  <c r="AT9" i="12" s="1"/>
  <c r="S7" i="12"/>
  <c r="S9" i="12" s="1"/>
  <c r="Z7" i="12"/>
  <c r="Z9" i="12" s="1"/>
  <c r="AK7" i="12"/>
  <c r="AK9" i="12" s="1"/>
  <c r="AF7" i="12"/>
  <c r="AF9" i="12" s="1"/>
  <c r="AS7" i="12"/>
  <c r="AS9" i="12" s="1"/>
  <c r="AG7" i="12"/>
  <c r="AG9" i="12" s="1"/>
  <c r="R7" i="12"/>
  <c r="R9" i="12" s="1"/>
  <c r="AH7" i="12"/>
  <c r="AH9" i="12" s="1"/>
  <c r="X7" i="12"/>
  <c r="X9" i="12" s="1"/>
  <c r="AM7" i="12"/>
  <c r="AM9" i="12" s="1"/>
  <c r="AP7" i="12"/>
  <c r="AP9" i="12" s="1"/>
  <c r="O7" i="12"/>
  <c r="O9" i="12" s="1"/>
  <c r="T7" i="12"/>
  <c r="T9" i="12" s="1"/>
  <c r="AO7" i="12"/>
  <c r="AO9" i="12" s="1"/>
  <c r="K7" i="12"/>
  <c r="K9" i="12" s="1"/>
  <c r="L7" i="12"/>
  <c r="L9" i="12" s="1"/>
  <c r="E7" i="12"/>
  <c r="E9" i="12" s="1"/>
  <c r="Y7" i="12"/>
  <c r="Y9" i="12" s="1"/>
  <c r="J7" i="12"/>
  <c r="J9" i="12" s="1"/>
  <c r="AB7" i="12"/>
  <c r="AB9" i="12" s="1"/>
  <c r="AX7" i="12"/>
  <c r="AX9" i="12" s="1"/>
  <c r="AW7" i="12"/>
  <c r="AW9" i="12" s="1"/>
  <c r="M7" i="12"/>
  <c r="M9" i="12" s="1"/>
  <c r="AU7" i="12"/>
  <c r="AU9" i="12" s="1"/>
  <c r="V7" i="12"/>
  <c r="V9" i="12" s="1"/>
  <c r="AN7" i="12"/>
  <c r="AN9" i="12" s="1"/>
  <c r="Q7" i="12"/>
  <c r="Q9" i="12" s="1"/>
  <c r="AR7" i="12"/>
  <c r="AR9" i="12" s="1"/>
  <c r="W7" i="12"/>
  <c r="W9" i="12" s="1"/>
  <c r="AD7" i="12"/>
  <c r="AD9" i="12" s="1"/>
  <c r="N7" i="12"/>
  <c r="N9" i="12" s="1"/>
  <c r="H7" i="12"/>
  <c r="H9" i="12" s="1"/>
  <c r="AL7" i="12"/>
  <c r="AL9" i="12" s="1"/>
  <c r="AY7" i="12"/>
  <c r="AY9" i="12" s="1"/>
  <c r="AQ7" i="12"/>
  <c r="AQ9" i="12" s="1"/>
  <c r="U7" i="12"/>
  <c r="U9" i="12" s="1"/>
  <c r="AJ7" i="12"/>
  <c r="AJ9" i="12" s="1"/>
  <c r="I7" i="12"/>
  <c r="I9" i="12" s="1"/>
  <c r="AI7" i="12"/>
  <c r="AI9" i="12" s="1"/>
  <c r="AV7" i="12"/>
  <c r="AV9" i="12" s="1"/>
  <c r="F7" i="12"/>
  <c r="F9" i="12" s="1"/>
  <c r="AA7" i="12"/>
  <c r="AA9" i="12" s="1"/>
  <c r="AE7" i="12"/>
  <c r="AE9" i="12" s="1"/>
  <c r="D7" i="12"/>
  <c r="D9" i="12" s="1"/>
  <c r="AZ19" i="12"/>
  <c r="BC19" i="12" s="1"/>
  <c r="AZ14" i="12"/>
  <c r="BK14" i="12" s="1"/>
  <c r="AZ27" i="12"/>
  <c r="AZ12" i="12"/>
  <c r="D24" i="12"/>
  <c r="AZ22" i="12"/>
  <c r="AZ17" i="12"/>
  <c r="BS29" i="12" l="1"/>
  <c r="BN29" i="12"/>
  <c r="BB29" i="12"/>
  <c r="BI29" i="12"/>
  <c r="BQ29" i="12"/>
  <c r="BF29" i="12"/>
  <c r="BM29" i="12"/>
  <c r="BG29" i="12"/>
  <c r="BD29" i="12"/>
  <c r="BP29" i="12"/>
  <c r="BJ29" i="12"/>
  <c r="BU29" i="12"/>
  <c r="BL29" i="12"/>
  <c r="BE29" i="12"/>
  <c r="BT29" i="12"/>
  <c r="BK29" i="12"/>
  <c r="BO29" i="12"/>
  <c r="BC29" i="12"/>
  <c r="BH29" i="12"/>
  <c r="CB47" i="3"/>
  <c r="CZ47" i="3" s="1"/>
  <c r="CB44" i="3"/>
  <c r="CB45" i="3"/>
  <c r="AZ24" i="12"/>
  <c r="BM24" i="12" s="1"/>
  <c r="BV24" i="12"/>
  <c r="BY9" i="12"/>
  <c r="DF43" i="3" s="1"/>
  <c r="BX9" i="12"/>
  <c r="DE43" i="3" s="1"/>
  <c r="BW9" i="12"/>
  <c r="DD43" i="3" s="1"/>
  <c r="BV9" i="12"/>
  <c r="DC43" i="3" s="1"/>
  <c r="AZ7" i="12"/>
  <c r="AZ9" i="12"/>
  <c r="BD9" i="12" s="1"/>
  <c r="BQ19" i="12"/>
  <c r="BR19" i="12"/>
  <c r="BE14" i="12"/>
  <c r="BJ14" i="12"/>
  <c r="BU14" i="12"/>
  <c r="BN19" i="12"/>
  <c r="BD14" i="12"/>
  <c r="BG14" i="12"/>
  <c r="BP19" i="12"/>
  <c r="BR14" i="12"/>
  <c r="BO19" i="12"/>
  <c r="BN14" i="12"/>
  <c r="BO14" i="12"/>
  <c r="BL19" i="12"/>
  <c r="BE19" i="12"/>
  <c r="BF19" i="12"/>
  <c r="BL14" i="12"/>
  <c r="BS14" i="12"/>
  <c r="BK19" i="12"/>
  <c r="BM14" i="12"/>
  <c r="BF14" i="12"/>
  <c r="BJ19" i="12"/>
  <c r="BI14" i="12"/>
  <c r="BC14" i="12"/>
  <c r="BU19" i="12"/>
  <c r="BT14" i="12"/>
  <c r="BQ14" i="12"/>
  <c r="BD19" i="12"/>
  <c r="BH19" i="12"/>
  <c r="BP14" i="12"/>
  <c r="BB14" i="12"/>
  <c r="BM19" i="12"/>
  <c r="BG19" i="12"/>
  <c r="BI19" i="12"/>
  <c r="BS19" i="12"/>
  <c r="BB19" i="12"/>
  <c r="BH14" i="12"/>
  <c r="BT19" i="12"/>
  <c r="CS47" i="3" l="1"/>
  <c r="DA47" i="3"/>
  <c r="CV47" i="3"/>
  <c r="CQ47" i="3"/>
  <c r="CW47" i="3"/>
  <c r="CK47" i="3"/>
  <c r="F31" i="13" s="1"/>
  <c r="CU47" i="3"/>
  <c r="CL47" i="3"/>
  <c r="CO47" i="3"/>
  <c r="DB47" i="3"/>
  <c r="F201" i="13" s="1"/>
  <c r="CI47" i="3"/>
  <c r="F11" i="13" s="1"/>
  <c r="M11" i="13" s="1"/>
  <c r="CX47" i="3"/>
  <c r="CT47" i="3"/>
  <c r="CN47" i="3"/>
  <c r="CY47" i="3"/>
  <c r="CM47" i="3"/>
  <c r="CJ47" i="3"/>
  <c r="F21" i="13" s="1"/>
  <c r="CR47" i="3"/>
  <c r="CP47" i="3"/>
  <c r="K191" i="13"/>
  <c r="I191" i="13"/>
  <c r="O191" i="13"/>
  <c r="DC46" i="3"/>
  <c r="CB46" i="3" s="1"/>
  <c r="CU46" i="3" s="1"/>
  <c r="BF24" i="12"/>
  <c r="BI24" i="12"/>
  <c r="BC24" i="12"/>
  <c r="BU24" i="12"/>
  <c r="BH24" i="12"/>
  <c r="BJ24" i="12"/>
  <c r="BG24" i="12"/>
  <c r="BR24" i="12"/>
  <c r="BE24" i="12"/>
  <c r="BK24" i="12"/>
  <c r="BL24" i="12"/>
  <c r="BP24" i="12"/>
  <c r="BB24" i="12"/>
  <c r="BD24" i="12"/>
  <c r="BD30" i="12" s="1"/>
  <c r="BN24" i="12"/>
  <c r="BO24" i="12"/>
  <c r="BS24" i="12"/>
  <c r="BT24" i="12"/>
  <c r="BQ24" i="12"/>
  <c r="DD48" i="3"/>
  <c r="DE48" i="3"/>
  <c r="DE64" i="3" s="1"/>
  <c r="DF48" i="3"/>
  <c r="DB45" i="3"/>
  <c r="F199" i="13" s="1"/>
  <c r="CT45" i="3"/>
  <c r="CL45" i="3"/>
  <c r="DA45" i="3"/>
  <c r="CS45" i="3"/>
  <c r="CK45" i="3"/>
  <c r="F29" i="13" s="1"/>
  <c r="CM45" i="3"/>
  <c r="CZ45" i="3"/>
  <c r="CR45" i="3"/>
  <c r="CJ45" i="3"/>
  <c r="F19" i="13" s="1"/>
  <c r="CY45" i="3"/>
  <c r="CQ45" i="3"/>
  <c r="CI45" i="3"/>
  <c r="F9" i="13" s="1"/>
  <c r="CX45" i="3"/>
  <c r="CP45" i="3"/>
  <c r="CW45" i="3"/>
  <c r="CO45" i="3"/>
  <c r="CU45" i="3"/>
  <c r="CV45" i="3"/>
  <c r="CN45" i="3"/>
  <c r="CX44" i="3"/>
  <c r="CP44" i="3"/>
  <c r="CW44" i="3"/>
  <c r="CO44" i="3"/>
  <c r="CN44" i="3"/>
  <c r="CV44" i="3"/>
  <c r="CY44" i="3"/>
  <c r="CU44" i="3"/>
  <c r="CM44" i="3"/>
  <c r="DB44" i="3"/>
  <c r="F198" i="13" s="1"/>
  <c r="CT44" i="3"/>
  <c r="DA44" i="3"/>
  <c r="CS44" i="3"/>
  <c r="CK44" i="3"/>
  <c r="F28" i="13" s="1"/>
  <c r="CI44" i="3"/>
  <c r="F8" i="13" s="1"/>
  <c r="CL44" i="3"/>
  <c r="CZ44" i="3"/>
  <c r="CR44" i="3"/>
  <c r="CJ44" i="3"/>
  <c r="F18" i="13" s="1"/>
  <c r="CQ44" i="3"/>
  <c r="BT9" i="12"/>
  <c r="BH9" i="12"/>
  <c r="BC9" i="12"/>
  <c r="BM9" i="12"/>
  <c r="BM30" i="12" s="1"/>
  <c r="BR9" i="12"/>
  <c r="BI9" i="12"/>
  <c r="BG9" i="12"/>
  <c r="BO9" i="12"/>
  <c r="BK9" i="12"/>
  <c r="BE9" i="12"/>
  <c r="BQ9" i="12"/>
  <c r="BL9" i="12"/>
  <c r="BF9" i="12"/>
  <c r="BU9" i="12"/>
  <c r="BB9" i="12"/>
  <c r="BP9" i="12"/>
  <c r="BN9" i="12"/>
  <c r="BS9" i="12"/>
  <c r="BJ9" i="12"/>
  <c r="I31" i="13" l="1"/>
  <c r="M31" i="13"/>
  <c r="O31" i="13"/>
  <c r="K31" i="13"/>
  <c r="O29" i="13"/>
  <c r="M29" i="13"/>
  <c r="K29" i="13"/>
  <c r="I29" i="13"/>
  <c r="K28" i="13"/>
  <c r="O28" i="13"/>
  <c r="I28" i="13"/>
  <c r="M28" i="13"/>
  <c r="K11" i="13"/>
  <c r="I11" i="13"/>
  <c r="O11" i="13"/>
  <c r="M21" i="13"/>
  <c r="O21" i="13"/>
  <c r="I21" i="13"/>
  <c r="K21" i="13"/>
  <c r="O19" i="13"/>
  <c r="K19" i="13"/>
  <c r="I19" i="13"/>
  <c r="M19" i="13"/>
  <c r="M18" i="13"/>
  <c r="O18" i="13"/>
  <c r="K18" i="13"/>
  <c r="I18" i="13"/>
  <c r="M191" i="13"/>
  <c r="P191" i="13" s="1"/>
  <c r="O201" i="13"/>
  <c r="M201" i="13"/>
  <c r="K201" i="13"/>
  <c r="I201" i="13"/>
  <c r="K189" i="13"/>
  <c r="M188" i="13"/>
  <c r="M9" i="13"/>
  <c r="O9" i="13"/>
  <c r="I9" i="13"/>
  <c r="K9" i="13"/>
  <c r="DC48" i="3"/>
  <c r="DC64" i="3" s="1"/>
  <c r="CB43" i="3"/>
  <c r="DB43" i="3" s="1"/>
  <c r="F197" i="13" s="1"/>
  <c r="U64" i="13" s="1"/>
  <c r="CW46" i="3"/>
  <c r="CJ46" i="3"/>
  <c r="F20" i="13" s="1"/>
  <c r="CV46" i="3"/>
  <c r="BI30" i="12"/>
  <c r="D17" i="1" s="1"/>
  <c r="K17" i="1" s="1"/>
  <c r="M17" i="1" s="1"/>
  <c r="CY46" i="3"/>
  <c r="CO46" i="3"/>
  <c r="CP46" i="3"/>
  <c r="CX46" i="3"/>
  <c r="DD64" i="3"/>
  <c r="BU30" i="12"/>
  <c r="D41" i="1" s="1"/>
  <c r="CR46" i="3"/>
  <c r="DF64" i="3"/>
  <c r="CK46" i="3"/>
  <c r="F30" i="13" s="1"/>
  <c r="CS46" i="3"/>
  <c r="DA46" i="3"/>
  <c r="BJ30" i="12"/>
  <c r="D19" i="1" s="1"/>
  <c r="K19" i="1" s="1"/>
  <c r="M19" i="1" s="1"/>
  <c r="BH30" i="12"/>
  <c r="D15" i="1" s="1"/>
  <c r="K15" i="1" s="1"/>
  <c r="M15" i="1" s="1"/>
  <c r="CL46" i="3"/>
  <c r="BN30" i="12"/>
  <c r="D27" i="1" s="1"/>
  <c r="K27" i="1" s="1"/>
  <c r="M27" i="1" s="1"/>
  <c r="CT46" i="3"/>
  <c r="BP30" i="12"/>
  <c r="D31" i="1" s="1"/>
  <c r="K31" i="1" s="1"/>
  <c r="M31" i="1" s="1"/>
  <c r="BB30" i="12"/>
  <c r="D3" i="1" s="1"/>
  <c r="K3" i="1" s="1"/>
  <c r="CI46" i="3"/>
  <c r="F10" i="13" s="1"/>
  <c r="DB46" i="3"/>
  <c r="F200" i="13" s="1"/>
  <c r="CM46" i="3"/>
  <c r="CZ46" i="3"/>
  <c r="CN46" i="3"/>
  <c r="BG30" i="12"/>
  <c r="D13" i="1" s="1"/>
  <c r="BF30" i="12"/>
  <c r="D11" i="1" s="1"/>
  <c r="BC30" i="12"/>
  <c r="D5" i="1" s="1"/>
  <c r="BD5" i="1" s="1"/>
  <c r="CQ46" i="3"/>
  <c r="BR30" i="12"/>
  <c r="D35" i="1" s="1"/>
  <c r="K35" i="1" s="1"/>
  <c r="M35" i="1" s="1"/>
  <c r="BL30" i="12"/>
  <c r="D23" i="1" s="1"/>
  <c r="K23" i="1" s="1"/>
  <c r="M23" i="1" s="1"/>
  <c r="BS30" i="12"/>
  <c r="D37" i="1" s="1"/>
  <c r="K37" i="1" s="1"/>
  <c r="M37" i="1" s="1"/>
  <c r="BE30" i="12"/>
  <c r="D9" i="1" s="1"/>
  <c r="BC9" i="1" s="1"/>
  <c r="BK30" i="12"/>
  <c r="D21" i="1" s="1"/>
  <c r="K21" i="1" s="1"/>
  <c r="M21" i="1" s="1"/>
  <c r="BT30" i="12"/>
  <c r="D39" i="1" s="1"/>
  <c r="K39" i="1" s="1"/>
  <c r="M39" i="1" s="1"/>
  <c r="BO30" i="12"/>
  <c r="D29" i="1" s="1"/>
  <c r="K29" i="1" s="1"/>
  <c r="M29" i="1" s="1"/>
  <c r="BQ30" i="12"/>
  <c r="D33" i="1" s="1"/>
  <c r="K33" i="1" s="1"/>
  <c r="M33" i="1" s="1"/>
  <c r="D25" i="1"/>
  <c r="K25" i="1" s="1"/>
  <c r="M25" i="1" s="1"/>
  <c r="D7" i="1"/>
  <c r="BC7" i="1" s="1"/>
  <c r="P31" i="13" l="1"/>
  <c r="P29" i="13"/>
  <c r="P28" i="13"/>
  <c r="I30" i="13"/>
  <c r="O30" i="13"/>
  <c r="M30" i="13"/>
  <c r="K30" i="13"/>
  <c r="P21" i="13"/>
  <c r="O20" i="13"/>
  <c r="K20" i="13"/>
  <c r="M20" i="13"/>
  <c r="I20" i="13"/>
  <c r="P19" i="13"/>
  <c r="P18" i="13"/>
  <c r="P201" i="13"/>
  <c r="M189" i="13"/>
  <c r="O189" i="13"/>
  <c r="I189" i="13"/>
  <c r="I188" i="13"/>
  <c r="K200" i="13"/>
  <c r="M200" i="13"/>
  <c r="O200" i="13"/>
  <c r="I200" i="13"/>
  <c r="O188" i="13"/>
  <c r="K188" i="13"/>
  <c r="M199" i="13"/>
  <c r="K199" i="13"/>
  <c r="O199" i="13"/>
  <c r="I199" i="13"/>
  <c r="K198" i="13"/>
  <c r="M198" i="13"/>
  <c r="O198" i="13"/>
  <c r="I198" i="13"/>
  <c r="O190" i="13"/>
  <c r="I190" i="13"/>
  <c r="M190" i="13"/>
  <c r="K190" i="13"/>
  <c r="I197" i="13"/>
  <c r="O197" i="13"/>
  <c r="K197" i="13"/>
  <c r="M197" i="13"/>
  <c r="M8" i="13"/>
  <c r="O8" i="13"/>
  <c r="M10" i="13"/>
  <c r="O10" i="13"/>
  <c r="I10" i="13"/>
  <c r="K10" i="13"/>
  <c r="I8" i="13"/>
  <c r="K8" i="13"/>
  <c r="P9" i="13"/>
  <c r="P11" i="13"/>
  <c r="CW43" i="3"/>
  <c r="CW49" i="3" s="1"/>
  <c r="CB48" i="3"/>
  <c r="V33" i="24" s="1"/>
  <c r="CP43" i="3"/>
  <c r="CP49" i="3" s="1"/>
  <c r="CJ43" i="3"/>
  <c r="F17" i="13" s="1"/>
  <c r="U46" i="13" s="1"/>
  <c r="CX43" i="3"/>
  <c r="CX49" i="3" s="1"/>
  <c r="CK43" i="3"/>
  <c r="CM43" i="3"/>
  <c r="CM49" i="3" s="1"/>
  <c r="CI43" i="3"/>
  <c r="F7" i="13" s="1"/>
  <c r="U45" i="13" s="1"/>
  <c r="CS43" i="3"/>
  <c r="CS63" i="3" s="1"/>
  <c r="V13" i="24" s="1"/>
  <c r="CN43" i="3"/>
  <c r="CN49" i="3" s="1"/>
  <c r="CQ43" i="3"/>
  <c r="CQ49" i="3" s="1"/>
  <c r="DA43" i="3"/>
  <c r="DA49" i="3" s="1"/>
  <c r="CV43" i="3"/>
  <c r="CV49" i="3" s="1"/>
  <c r="CL43" i="3"/>
  <c r="CL49" i="3" s="1"/>
  <c r="CU43" i="3"/>
  <c r="CU63" i="3" s="1"/>
  <c r="V15" i="24" s="1"/>
  <c r="CR43" i="3"/>
  <c r="CR63" i="3" s="1"/>
  <c r="V12" i="24" s="1"/>
  <c r="CT43" i="3"/>
  <c r="CT49" i="3" s="1"/>
  <c r="CY43" i="3"/>
  <c r="CY63" i="3" s="1"/>
  <c r="V19" i="24" s="1"/>
  <c r="CO43" i="3"/>
  <c r="CO49" i="3" s="1"/>
  <c r="CZ43" i="3"/>
  <c r="CZ49" i="3" s="1"/>
  <c r="DB49" i="3"/>
  <c r="DB63" i="3"/>
  <c r="V22" i="24" s="1"/>
  <c r="K13" i="1"/>
  <c r="M13" i="1" s="1"/>
  <c r="BB13" i="1"/>
  <c r="BD13" i="1"/>
  <c r="BC13" i="1"/>
  <c r="K11" i="1"/>
  <c r="M11" i="1" s="1"/>
  <c r="BC11" i="1"/>
  <c r="BB11" i="1"/>
  <c r="BD11" i="1"/>
  <c r="K41" i="1"/>
  <c r="M41" i="1" s="1"/>
  <c r="BD41" i="1"/>
  <c r="BB41" i="1"/>
  <c r="BC41" i="1"/>
  <c r="BD9" i="1"/>
  <c r="BB9" i="1"/>
  <c r="K9" i="1"/>
  <c r="M9" i="1" s="1"/>
  <c r="BB7" i="1"/>
  <c r="BD7" i="1"/>
  <c r="K7" i="1"/>
  <c r="M7" i="1" s="1"/>
  <c r="BB5" i="1"/>
  <c r="D43" i="1"/>
  <c r="CA2" i="1" s="1"/>
  <c r="BC5" i="1"/>
  <c r="BB3" i="1"/>
  <c r="K5" i="1"/>
  <c r="M5" i="1" s="1"/>
  <c r="BD3" i="1"/>
  <c r="BC3" i="1"/>
  <c r="M3" i="1"/>
  <c r="P30" i="13" l="1"/>
  <c r="CK49" i="3"/>
  <c r="F27" i="13"/>
  <c r="P189" i="13"/>
  <c r="U22" i="13"/>
  <c r="V41" i="24"/>
  <c r="V42" i="24" s="1"/>
  <c r="P20" i="13"/>
  <c r="P190" i="13"/>
  <c r="P199" i="13"/>
  <c r="P200" i="13"/>
  <c r="P198" i="13"/>
  <c r="P188" i="13"/>
  <c r="P197" i="13"/>
  <c r="P8" i="13"/>
  <c r="M17" i="13"/>
  <c r="O17" i="13"/>
  <c r="M7" i="13"/>
  <c r="W7" i="13" s="1"/>
  <c r="W14" i="13" s="1"/>
  <c r="O7" i="13"/>
  <c r="X7" i="13" s="1"/>
  <c r="X14" i="13" s="1"/>
  <c r="I17" i="13"/>
  <c r="K17" i="13"/>
  <c r="I7" i="13"/>
  <c r="K7" i="13"/>
  <c r="V7" i="13" s="1"/>
  <c r="V14" i="13" s="1"/>
  <c r="P10" i="13"/>
  <c r="CJ49" i="3"/>
  <c r="CI63" i="3"/>
  <c r="V3" i="24" s="1"/>
  <c r="CZ63" i="3"/>
  <c r="V20" i="24" s="1"/>
  <c r="CO63" i="3"/>
  <c r="V9" i="24" s="1"/>
  <c r="CQ63" i="3"/>
  <c r="V11" i="24" s="1"/>
  <c r="CJ63" i="3"/>
  <c r="V4" i="24" s="1"/>
  <c r="CS49" i="3"/>
  <c r="CP63" i="3"/>
  <c r="V10" i="24" s="1"/>
  <c r="CM63" i="3"/>
  <c r="V7" i="24" s="1"/>
  <c r="DA63" i="3"/>
  <c r="V21" i="24" s="1"/>
  <c r="CU49" i="3"/>
  <c r="CT63" i="3"/>
  <c r="V14" i="24" s="1"/>
  <c r="CV63" i="3"/>
  <c r="V16" i="24" s="1"/>
  <c r="CR49" i="3"/>
  <c r="CX63" i="3"/>
  <c r="V18" i="24" s="1"/>
  <c r="CY49" i="3"/>
  <c r="CN63" i="3"/>
  <c r="V8" i="24" s="1"/>
  <c r="CW63" i="3"/>
  <c r="V17" i="24" s="1"/>
  <c r="CL63" i="3"/>
  <c r="V6" i="24" s="1"/>
  <c r="J3" i="24"/>
  <c r="J11" i="24" s="1"/>
  <c r="K15" i="24" s="1"/>
  <c r="K17" i="24" s="1"/>
  <c r="AW3" i="15"/>
  <c r="CI49" i="3"/>
  <c r="CK63" i="3"/>
  <c r="V5" i="24" s="1"/>
  <c r="K3" i="24"/>
  <c r="K11" i="24" s="1"/>
  <c r="AS3" i="15" s="1"/>
  <c r="BC43" i="1"/>
  <c r="BD43" i="1"/>
  <c r="BB43" i="1"/>
  <c r="M43" i="1"/>
  <c r="D1" i="1" s="1"/>
  <c r="K43" i="1"/>
  <c r="F702" i="13" l="1"/>
  <c r="AA37" i="13" s="1"/>
  <c r="U47" i="13"/>
  <c r="U65" i="13" s="1"/>
  <c r="I27" i="13"/>
  <c r="O27" i="13"/>
  <c r="K27" i="13"/>
  <c r="M27" i="13"/>
  <c r="AE31" i="13"/>
  <c r="U29" i="13"/>
  <c r="AC31" i="13"/>
  <c r="AD31" i="13"/>
  <c r="AA31" i="13"/>
  <c r="AB31" i="13"/>
  <c r="Y31" i="13"/>
  <c r="Z31" i="13"/>
  <c r="X31" i="13"/>
  <c r="V31" i="13"/>
  <c r="AG25" i="24"/>
  <c r="V16" i="13"/>
  <c r="U7" i="13"/>
  <c r="U14" i="13" s="1"/>
  <c r="Y14" i="13" s="1"/>
  <c r="W16" i="13"/>
  <c r="V23" i="24"/>
  <c r="AJ3" i="15" s="1"/>
  <c r="AR3" i="15" s="1"/>
  <c r="J12" i="24"/>
  <c r="L13" i="24"/>
  <c r="I19" i="24" s="1"/>
  <c r="K12" i="24"/>
  <c r="L8" i="24" s="1"/>
  <c r="L17" i="24"/>
  <c r="P27" i="13" l="1"/>
  <c r="AG27" i="24"/>
  <c r="AE28" i="24" s="1"/>
  <c r="U31" i="13"/>
  <c r="X16" i="13"/>
  <c r="Y7" i="13"/>
  <c r="P17" i="13"/>
  <c r="P7" i="13"/>
  <c r="AL3" i="15"/>
  <c r="U40" i="13" l="1"/>
  <c r="Y16" i="13"/>
  <c r="U16" i="13"/>
  <c r="X2" i="24"/>
  <c r="W21" i="13" s="1"/>
  <c r="W44" i="13" l="1"/>
  <c r="W28" i="13"/>
  <c r="AF28" i="13" s="1"/>
  <c r="W30" i="13"/>
  <c r="AF30" i="13" s="1"/>
  <c r="W22" i="13"/>
  <c r="W27" i="13"/>
  <c r="AF27" i="13" s="1"/>
  <c r="W23" i="13"/>
  <c r="AF23" i="13" s="1"/>
  <c r="W24" i="13"/>
  <c r="AF24" i="13" s="1"/>
  <c r="W26" i="13"/>
  <c r="AF26" i="13" s="1"/>
  <c r="W25" i="13"/>
  <c r="V40" i="13"/>
  <c r="I25" i="20"/>
  <c r="Z16" i="13"/>
  <c r="X32" i="24"/>
  <c r="X34" i="24" s="1"/>
  <c r="AG34" i="24" s="1"/>
  <c r="X16" i="24"/>
  <c r="AG16" i="24" s="1"/>
  <c r="X21" i="24"/>
  <c r="AG21" i="24" s="1"/>
  <c r="X12" i="24"/>
  <c r="AG12" i="24" s="1"/>
  <c r="X11" i="24"/>
  <c r="AG11" i="24" s="1"/>
  <c r="X17" i="24"/>
  <c r="AG17" i="24" s="1"/>
  <c r="X13" i="24"/>
  <c r="AG13" i="24" s="1"/>
  <c r="X22" i="24"/>
  <c r="AG22" i="24" s="1"/>
  <c r="X20" i="24"/>
  <c r="AG20" i="24" s="1"/>
  <c r="X8" i="24"/>
  <c r="AG8" i="24" s="1"/>
  <c r="X5" i="24"/>
  <c r="AG5" i="24" s="1"/>
  <c r="X10" i="24"/>
  <c r="AG10" i="24" s="1"/>
  <c r="X3" i="24"/>
  <c r="X9" i="24"/>
  <c r="AG9" i="24" s="1"/>
  <c r="X7" i="24"/>
  <c r="AG7" i="24" s="1"/>
  <c r="X18" i="24"/>
  <c r="AG18" i="24" s="1"/>
  <c r="X15" i="24"/>
  <c r="AG15" i="24" s="1"/>
  <c r="X14" i="24"/>
  <c r="AG14" i="24" s="1"/>
  <c r="X4" i="24"/>
  <c r="AG4" i="24" s="1"/>
  <c r="X6" i="24"/>
  <c r="AG6" i="24" s="1"/>
  <c r="X19" i="24"/>
  <c r="AG19" i="24" s="1"/>
  <c r="X35" i="24"/>
  <c r="AG35" i="24" s="1"/>
  <c r="X40" i="24"/>
  <c r="AG40" i="24" s="1"/>
  <c r="X33" i="24"/>
  <c r="X39" i="24" l="1"/>
  <c r="AG39" i="24" s="1"/>
  <c r="X37" i="24"/>
  <c r="AG37" i="24" s="1"/>
  <c r="X36" i="24"/>
  <c r="AG36" i="24" s="1"/>
  <c r="X38" i="24"/>
  <c r="AG38" i="24" s="1"/>
  <c r="W29" i="13"/>
  <c r="W45" i="13"/>
  <c r="W49" i="13"/>
  <c r="AF49" i="13" s="1"/>
  <c r="W53" i="13"/>
  <c r="AF53" i="13" s="1"/>
  <c r="W57" i="13"/>
  <c r="AF57" i="13" s="1"/>
  <c r="W61" i="13"/>
  <c r="W52" i="13"/>
  <c r="AF52" i="13" s="1"/>
  <c r="W56" i="13"/>
  <c r="AF56" i="13" s="1"/>
  <c r="W46" i="13"/>
  <c r="AF46" i="13" s="1"/>
  <c r="W50" i="13"/>
  <c r="AF50" i="13" s="1"/>
  <c r="W54" i="13"/>
  <c r="AF54" i="13" s="1"/>
  <c r="W58" i="13"/>
  <c r="AF58" i="13" s="1"/>
  <c r="W62" i="13"/>
  <c r="AF62" i="13" s="1"/>
  <c r="W47" i="13"/>
  <c r="AF47" i="13" s="1"/>
  <c r="W51" i="13"/>
  <c r="AF51" i="13" s="1"/>
  <c r="W55" i="13"/>
  <c r="AF55" i="13" s="1"/>
  <c r="W63" i="13"/>
  <c r="AF63" i="13" s="1"/>
  <c r="W64" i="13"/>
  <c r="W59" i="13"/>
  <c r="AF59" i="13" s="1"/>
  <c r="W48" i="13"/>
  <c r="AF48" i="13" s="1"/>
  <c r="W60" i="13"/>
  <c r="AF60" i="13" s="1"/>
  <c r="AF22" i="13"/>
  <c r="AF29" i="13"/>
  <c r="AF25" i="13"/>
  <c r="AF45" i="13"/>
  <c r="AF61" i="13"/>
  <c r="X41" i="24"/>
  <c r="AG41" i="24" s="1"/>
  <c r="AG33" i="24"/>
  <c r="X23" i="24"/>
  <c r="AG3" i="24"/>
  <c r="AG23" i="24" s="1"/>
  <c r="AJ23" i="24" s="1"/>
  <c r="W65" i="13" l="1"/>
  <c r="AF64" i="13"/>
  <c r="AF65" i="13" s="1"/>
  <c r="AA38" i="13" s="1"/>
  <c r="AA39" i="13" s="1"/>
  <c r="AB37" i="13" s="1"/>
  <c r="W31" i="13"/>
  <c r="AF31" i="13" s="1"/>
  <c r="AC25" i="24"/>
  <c r="X42" i="24"/>
  <c r="AG42" i="24"/>
  <c r="V35" i="13" l="1"/>
  <c r="AB33" i="13"/>
  <c r="W25" i="24"/>
  <c r="AC26" i="24"/>
  <c r="AC27" i="24" s="1"/>
  <c r="Y28" i="24" s="1"/>
  <c r="AI3" i="15"/>
  <c r="AM3" i="15" s="1"/>
  <c r="W26" i="24" l="1"/>
  <c r="U34" i="13" s="1"/>
  <c r="U35" i="13" s="1"/>
  <c r="W6" i="13"/>
  <c r="X6" i="13" s="1"/>
  <c r="K1" i="13"/>
  <c r="M1" i="13" s="1"/>
  <c r="O1" i="13" s="1"/>
  <c r="U28"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Gomes Claro</author>
  </authors>
  <commentList>
    <comment ref="B8" authorId="0" shapeId="0" xr:uid="{EFC57916-64B0-4BCC-98D2-A8357C33F9E6}">
      <text>
        <r>
          <rPr>
            <b/>
            <sz val="9"/>
            <color indexed="81"/>
            <rFont val="Tahoma"/>
            <family val="2"/>
          </rPr>
          <t>David Gomes Claro:</t>
        </r>
        <r>
          <rPr>
            <sz val="9"/>
            <color indexed="81"/>
            <rFont val="Tahoma"/>
            <family val="2"/>
          </rPr>
          <t xml:space="preserve">
Se proponente</t>
        </r>
      </text>
    </comment>
    <comment ref="C8" authorId="0" shapeId="0" xr:uid="{C396C9EC-F506-4A1C-AE00-48B46B00985C}">
      <text>
        <r>
          <rPr>
            <b/>
            <sz val="9"/>
            <color indexed="81"/>
            <rFont val="Tahoma"/>
            <family val="2"/>
          </rPr>
          <t>David Gomes Claro:</t>
        </r>
        <r>
          <rPr>
            <sz val="9"/>
            <color indexed="81"/>
            <rFont val="Tahoma"/>
            <family val="2"/>
          </rPr>
          <t xml:space="preserve">
Se Parceiro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FCiencias</author>
  </authors>
  <commentList>
    <comment ref="D5" authorId="0" shapeId="0" xr:uid="{ED9E1555-0265-489C-8E72-5D83EAD37E31}">
      <text>
        <r>
          <rPr>
            <b/>
            <sz val="9"/>
            <color indexed="81"/>
            <rFont val="Tahoma"/>
            <family val="2"/>
          </rPr>
          <t>FCiencias:</t>
        </r>
        <r>
          <rPr>
            <sz val="9"/>
            <color indexed="81"/>
            <rFont val="Tahoma"/>
            <family val="2"/>
          </rPr>
          <t xml:space="preserve">
Person*Month</t>
        </r>
      </text>
    </comment>
    <comment ref="F26" authorId="0" shapeId="0" xr:uid="{B2CF6CF1-0550-40E1-8441-65A47AF6C534}">
      <text>
        <r>
          <rPr>
            <b/>
            <sz val="9"/>
            <color indexed="81"/>
            <rFont val="Tahoma"/>
            <family val="2"/>
          </rPr>
          <t>FCiencias:</t>
        </r>
        <r>
          <rPr>
            <sz val="9"/>
            <color indexed="81"/>
            <rFont val="Tahoma"/>
            <family val="2"/>
          </rPr>
          <t xml:space="preserve">
1) Pode inserir mais do que uma Milestone por mês.
2) Exemplo: M1</t>
        </r>
      </text>
    </comment>
  </commentList>
</comments>
</file>

<file path=xl/sharedStrings.xml><?xml version="1.0" encoding="utf-8"?>
<sst xmlns="http://schemas.openxmlformats.org/spreadsheetml/2006/main" count="5279" uniqueCount="1093">
  <si>
    <t>FCiências.ID</t>
  </si>
  <si>
    <t>Duração</t>
  </si>
  <si>
    <t>J</t>
  </si>
  <si>
    <t>F</t>
  </si>
  <si>
    <t>M</t>
  </si>
  <si>
    <t>A</t>
  </si>
  <si>
    <t>S</t>
  </si>
  <si>
    <t>O</t>
  </si>
  <si>
    <t>N</t>
  </si>
  <si>
    <t>D</t>
  </si>
  <si>
    <t>Data Inicio:</t>
  </si>
  <si>
    <t>Nº</t>
  </si>
  <si>
    <t>TRU</t>
  </si>
  <si>
    <t>Bolseiro 1</t>
  </si>
  <si>
    <t>Bolseiro 2</t>
  </si>
  <si>
    <t>Bolseiro 3</t>
  </si>
  <si>
    <t>Bolseiro 4</t>
  </si>
  <si>
    <t>Bolseiro 5</t>
  </si>
  <si>
    <t>T1</t>
  </si>
  <si>
    <t>T2</t>
  </si>
  <si>
    <t>T3</t>
  </si>
  <si>
    <t>T4</t>
  </si>
  <si>
    <t>T5</t>
  </si>
  <si>
    <t>T6</t>
  </si>
  <si>
    <t>T7</t>
  </si>
  <si>
    <t>T8</t>
  </si>
  <si>
    <t>T9</t>
  </si>
  <si>
    <t>T10</t>
  </si>
  <si>
    <t>T11</t>
  </si>
  <si>
    <t>T12</t>
  </si>
  <si>
    <t>T13</t>
  </si>
  <si>
    <t>T14</t>
  </si>
  <si>
    <t>T15</t>
  </si>
  <si>
    <t>T16</t>
  </si>
  <si>
    <t>T17</t>
  </si>
  <si>
    <t>T18</t>
  </si>
  <si>
    <t>T19</t>
  </si>
  <si>
    <t>T20</t>
  </si>
  <si>
    <t>LISTA DE TAREFAS</t>
  </si>
  <si>
    <t>RH</t>
  </si>
  <si>
    <t>DPD</t>
  </si>
  <si>
    <t>E</t>
  </si>
  <si>
    <t>AE</t>
  </si>
  <si>
    <t>P</t>
  </si>
  <si>
    <t>EG</t>
  </si>
  <si>
    <t>Total</t>
  </si>
  <si>
    <r>
      <t>AQ</t>
    </r>
    <r>
      <rPr>
        <sz val="8"/>
        <color theme="1"/>
        <rFont val="Calibri"/>
        <family val="2"/>
        <scheme val="minor"/>
      </rPr>
      <t xml:space="preserve"> &amp; </t>
    </r>
    <r>
      <rPr>
        <sz val="11"/>
        <color theme="1"/>
        <rFont val="Calibri"/>
        <family val="2"/>
        <scheme val="minor"/>
      </rPr>
      <t>ODC</t>
    </r>
  </si>
  <si>
    <t>SC</t>
  </si>
  <si>
    <t>Cod.</t>
  </si>
  <si>
    <t>M1</t>
  </si>
  <si>
    <t>M2</t>
  </si>
  <si>
    <t>M4</t>
  </si>
  <si>
    <t>M5</t>
  </si>
  <si>
    <t>M3</t>
  </si>
  <si>
    <t>M6</t>
  </si>
  <si>
    <t>M7</t>
  </si>
  <si>
    <t>M8</t>
  </si>
  <si>
    <t>M9</t>
  </si>
  <si>
    <t>M10</t>
  </si>
  <si>
    <t>M11</t>
  </si>
  <si>
    <t>M12</t>
  </si>
  <si>
    <t>M13</t>
  </si>
  <si>
    <t>M14</t>
  </si>
  <si>
    <t>M15</t>
  </si>
  <si>
    <t>M16</t>
  </si>
  <si>
    <t>M17</t>
  </si>
  <si>
    <t>M18</t>
  </si>
  <si>
    <t>M19</t>
  </si>
  <si>
    <t>M20</t>
  </si>
  <si>
    <t>M21</t>
  </si>
  <si>
    <t>M22</t>
  </si>
  <si>
    <t>M23</t>
  </si>
  <si>
    <t>M24</t>
  </si>
  <si>
    <t>M25</t>
  </si>
  <si>
    <t>Cód.</t>
  </si>
  <si>
    <t>Instituição</t>
  </si>
  <si>
    <t>Linha</t>
  </si>
  <si>
    <t>SAT</t>
  </si>
  <si>
    <t>Tipologia</t>
  </si>
  <si>
    <t>SSV</t>
  </si>
  <si>
    <t>SAP</t>
  </si>
  <si>
    <t>bolsa</t>
  </si>
  <si>
    <t>SSP</t>
  </si>
  <si>
    <t>Totais</t>
  </si>
  <si>
    <t>BI - 1050,98€/Mês</t>
  </si>
  <si>
    <t>Valor da bolsa por Tarefa</t>
  </si>
  <si>
    <t>Total Geral</t>
  </si>
  <si>
    <t>AQ &amp; ODC</t>
  </si>
  <si>
    <t xml:space="preserve">Project reference: </t>
  </si>
  <si>
    <t xml:space="preserve">Project title: </t>
  </si>
  <si>
    <t>Alertas:</t>
  </si>
  <si>
    <t>Task Nº</t>
  </si>
  <si>
    <t>Task Denomination</t>
  </si>
  <si>
    <t>Participant responsible for task</t>
  </si>
  <si>
    <t>Acronyms of partners involved in task</t>
  </si>
  <si>
    <t>NA</t>
  </si>
  <si>
    <t xml:space="preserve"> Milestones &gt;&gt;&gt;</t>
  </si>
  <si>
    <t>Powered by FCiências.ID</t>
  </si>
  <si>
    <t>TABELAS</t>
  </si>
  <si>
    <t>caup</t>
  </si>
  <si>
    <t>ist</t>
  </si>
  <si>
    <t>nova</t>
  </si>
  <si>
    <t>ipl</t>
  </si>
  <si>
    <t>ipj</t>
  </si>
  <si>
    <t>isel</t>
  </si>
  <si>
    <t>ama</t>
  </si>
  <si>
    <t>fcul</t>
  </si>
  <si>
    <t>ISOA</t>
  </si>
  <si>
    <t>IPMA</t>
  </si>
  <si>
    <t>Controlo</t>
  </si>
  <si>
    <t>NºMeses</t>
  </si>
  <si>
    <t>Férias</t>
  </si>
  <si>
    <t>Natal</t>
  </si>
  <si>
    <t>Caducidade</t>
  </si>
  <si>
    <t>S.Almoço</t>
  </si>
  <si>
    <t>TSU</t>
  </si>
  <si>
    <t>TOTAL</t>
  </si>
  <si>
    <t>Grau</t>
  </si>
  <si>
    <t>3-4</t>
  </si>
  <si>
    <t>TA</t>
  </si>
  <si>
    <t>3-7</t>
  </si>
  <si>
    <t>6-7</t>
  </si>
  <si>
    <t>EI</t>
  </si>
  <si>
    <t>AI</t>
  </si>
  <si>
    <t>8</t>
  </si>
  <si>
    <t>INI</t>
  </si>
  <si>
    <t>ECIC IA-1</t>
  </si>
  <si>
    <t>IA</t>
  </si>
  <si>
    <t>EINOV; EILC; COM</t>
  </si>
  <si>
    <t>ECIC IA-2</t>
  </si>
  <si>
    <t>EINOV; EILC</t>
  </si>
  <si>
    <t>ECIC IP-1</t>
  </si>
  <si>
    <t>IP</t>
  </si>
  <si>
    <t>ECIC IA-3
ECIC IP-2</t>
  </si>
  <si>
    <t>IA
IP</t>
  </si>
  <si>
    <t>ECIC IA-4</t>
  </si>
  <si>
    <t>ECIC IP-3</t>
  </si>
  <si>
    <t>ECIC IP-4</t>
  </si>
  <si>
    <t>ECIC IC-1</t>
  </si>
  <si>
    <t>IC</t>
  </si>
  <si>
    <t>ECIC IC-2</t>
  </si>
  <si>
    <t xml:space="preserve">EINOV; EILC
</t>
  </si>
  <si>
    <t>ECIC IC-3</t>
  </si>
  <si>
    <t>ECIC IC-4</t>
  </si>
  <si>
    <t>Doutorado</t>
  </si>
  <si>
    <t>GRAU</t>
  </si>
  <si>
    <t>Total Elegível</t>
  </si>
  <si>
    <t>Ciência ID*:</t>
  </si>
  <si>
    <t>E-mail*:</t>
  </si>
  <si>
    <t>Ciência ID:</t>
  </si>
  <si>
    <t>E-mail:</t>
  </si>
  <si>
    <t># Sequencial</t>
  </si>
  <si>
    <t>ID da Proposta</t>
  </si>
  <si>
    <t xml:space="preserve">Núcleo da submissão </t>
  </si>
  <si>
    <t>Gestor da submissão</t>
  </si>
  <si>
    <t>Tipologia de Projeto</t>
  </si>
  <si>
    <t xml:space="preserve">Tipo de
contrato PS
</t>
  </si>
  <si>
    <t>Plataforma</t>
  </si>
  <si>
    <t>Data de Submissão
da Candidatura</t>
  </si>
  <si>
    <t>Resultado</t>
  </si>
  <si>
    <t>Data do Resultado</t>
  </si>
  <si>
    <t>Comunicação 
da Avaliação ao IR</t>
  </si>
  <si>
    <t>Financiador</t>
  </si>
  <si>
    <t>Referência do Projeto</t>
  </si>
  <si>
    <t>Designação do Projeto</t>
  </si>
  <si>
    <t>Acrónimo</t>
  </si>
  <si>
    <t>Duração projeto (meses)</t>
  </si>
  <si>
    <t>Participação</t>
  </si>
  <si>
    <t>Instituição Proponente</t>
  </si>
  <si>
    <t>Área Cientifica
FUNDUS</t>
  </si>
  <si>
    <t>Concurso/Tópico</t>
  </si>
  <si>
    <t>Programa de Financiamento</t>
  </si>
  <si>
    <t>Subprograma FUNDUS</t>
  </si>
  <si>
    <t>Investigador Responsável na FCiências.ID</t>
  </si>
  <si>
    <t>E-mailIR</t>
  </si>
  <si>
    <t>CiênciaIDdoIR</t>
  </si>
  <si>
    <t>UnidadeAssociada</t>
  </si>
  <si>
    <t>Departamento Ciências</t>
  </si>
  <si>
    <t>Vínculo Laboral</t>
  </si>
  <si>
    <t>Co-Investigador Responsável na FCiências.ID</t>
  </si>
  <si>
    <t>E-mail Co-IR</t>
  </si>
  <si>
    <t>Ciência.ID 
do Co-IR</t>
  </si>
  <si>
    <t>Unidade 
Associada 
do Co-IR</t>
  </si>
  <si>
    <t>Departamento 
Ciências do Co-IR</t>
  </si>
  <si>
    <t>Vínculo Laboral
 Co-IR</t>
  </si>
  <si>
    <t>Financiamento total (€)</t>
  </si>
  <si>
    <t>Financiamento FCID (€)</t>
  </si>
  <si>
    <t>Financiamento Ciências (€)</t>
  </si>
  <si>
    <t>Financiamento FCID+Ciências (€)</t>
  </si>
  <si>
    <t># Parceiros</t>
  </si>
  <si>
    <t xml:space="preserve">Faturado </t>
  </si>
  <si>
    <t>Taxa IVA</t>
  </si>
  <si>
    <t>Valor IVA</t>
  </si>
  <si>
    <t>Taxa OVH</t>
  </si>
  <si>
    <t>Despesa directa (€)</t>
  </si>
  <si>
    <t>Valor OVH (€)</t>
  </si>
  <si>
    <t>Taxa EGIR</t>
  </si>
  <si>
    <t>Taxa efetiva de OVH</t>
  </si>
  <si>
    <t>Verba orçamento contratos RH previstos (€)</t>
  </si>
  <si>
    <t>Verba orçamento Bolsas previstas (€)</t>
  </si>
  <si>
    <t>Contratos RH diretos previstos</t>
  </si>
  <si>
    <t>Auto contratação IR</t>
  </si>
  <si>
    <t>Data de inicio (dd/mm/aa)</t>
  </si>
  <si>
    <t>Data de fim (dd/mm/aa)</t>
  </si>
  <si>
    <t>Nº Projeto (CC)</t>
  </si>
  <si>
    <t>Gestor de projeto</t>
  </si>
  <si>
    <t>Contactos associados à proposta</t>
  </si>
  <si>
    <t>Observações</t>
  </si>
  <si>
    <t>Rubricas que não geram OVH</t>
  </si>
  <si>
    <t>Ano de abertura da Call / Pedido de proposta</t>
  </si>
  <si>
    <t>NPN</t>
  </si>
  <si>
    <t xml:space="preserve">Espera (E) </t>
  </si>
  <si>
    <t>FCT - FUNDAÇÃO PARA A CIÊNCIA E A TECNOLOGIA, I.P.</t>
  </si>
  <si>
    <t>Coordenador (C )</t>
  </si>
  <si>
    <t>FCiências.ID - Associação para a Investigação  e Desenvolvimento em Ciências</t>
  </si>
  <si>
    <t>7.0.0.0.0 - FCT</t>
  </si>
  <si>
    <t>Não</t>
  </si>
  <si>
    <t>MyFCT</t>
  </si>
  <si>
    <t>MyFCT/Vigor</t>
  </si>
  <si>
    <t>Vigor</t>
  </si>
  <si>
    <t>cE3c</t>
  </si>
  <si>
    <t>BioISI</t>
  </si>
  <si>
    <t>CIUHCT</t>
  </si>
  <si>
    <t>CQE</t>
  </si>
  <si>
    <t>MARE</t>
  </si>
  <si>
    <t>LaSIGE</t>
  </si>
  <si>
    <t>CEAUL</t>
  </si>
  <si>
    <t>IBEB</t>
  </si>
  <si>
    <t>CFTC</t>
  </si>
  <si>
    <t>IDL</t>
  </si>
  <si>
    <t>UI&amp;Ds</t>
  </si>
  <si>
    <t>Outras</t>
  </si>
  <si>
    <t>ALERTAS</t>
  </si>
  <si>
    <t>INSTITUIÇÕES PROPONENTES</t>
  </si>
  <si>
    <t>Nome da Instituição</t>
  </si>
  <si>
    <t>Associação para a Investigação e Desenvolvimento em Ciências</t>
  </si>
  <si>
    <t>CAUP</t>
  </si>
  <si>
    <t>Centro de Astrofísica da Universidade do Porto</t>
  </si>
  <si>
    <t>Fundação Calouste Gulbenkian</t>
  </si>
  <si>
    <t>FCUP</t>
  </si>
  <si>
    <t>Faculdade de Ciências da Universidade do Porto</t>
  </si>
  <si>
    <t>FGFrutuoso</t>
  </si>
  <si>
    <t>Fundação Gaspar Frutuoso, FP</t>
  </si>
  <si>
    <t>ICETA-UP</t>
  </si>
  <si>
    <t>Instituto de Ciências, Tecnologias e Agroambiente da Universidade do Porto</t>
  </si>
  <si>
    <t>IMM</t>
  </si>
  <si>
    <t>Instituto de Medicina Molecular João lobo Antunes</t>
  </si>
  <si>
    <t>INESC ID</t>
  </si>
  <si>
    <t>Instituto de Engenharia de Sistemas e Computadores, Investigação e Desenvolvimento em Lisboa</t>
  </si>
  <si>
    <t>INIAV</t>
  </si>
  <si>
    <t>Instituto Nacional de Investigação Agrária e Veterinária, I.P.</t>
  </si>
  <si>
    <t>Instituto Português do Mar e da Atmosfera</t>
  </si>
  <si>
    <t>ISA - ULisboa</t>
  </si>
  <si>
    <t>Instituto Superior de Agronomia</t>
  </si>
  <si>
    <t>ISEL</t>
  </si>
  <si>
    <t>Instituto Superior de Engenharia de Lisboa</t>
  </si>
  <si>
    <t>IST-ID</t>
  </si>
  <si>
    <t>Associação do Instituto Superior Técnico para a Investigação e o Desenvolvimento</t>
  </si>
  <si>
    <t>ITQB</t>
  </si>
  <si>
    <t>Instituto de Tecnologia Química e Biológica António Xavier</t>
  </si>
  <si>
    <t>NOVA.ID.FCT</t>
  </si>
  <si>
    <t>Associação para a Inovação e Desenvolvimento da FCT</t>
  </si>
  <si>
    <t>U. Açores</t>
  </si>
  <si>
    <t>Universidade dos Açores</t>
  </si>
  <si>
    <t>U. Aveiro</t>
  </si>
  <si>
    <t>Universidade de Aveiro</t>
  </si>
  <si>
    <t>U. Coimbra</t>
  </si>
  <si>
    <t>Universidade de Coimbra</t>
  </si>
  <si>
    <t>U. Évora</t>
  </si>
  <si>
    <t>Universidade de Évora</t>
  </si>
  <si>
    <t>U. Minho</t>
  </si>
  <si>
    <t>Universidade do Minho</t>
  </si>
  <si>
    <t>U. Porto</t>
  </si>
  <si>
    <t>Universidade do Porto</t>
  </si>
  <si>
    <t>U.Algarve</t>
  </si>
  <si>
    <t>Universidade do Algarve</t>
  </si>
  <si>
    <t>UTAD</t>
  </si>
  <si>
    <t>Universidade de Trás-os-Montes e Alto Douro</t>
  </si>
  <si>
    <t>Other</t>
  </si>
  <si>
    <t>Other Institution</t>
  </si>
  <si>
    <t>Not Applicable</t>
  </si>
  <si>
    <t>Notas</t>
  </si>
  <si>
    <t>Designação do Concurso:</t>
  </si>
  <si>
    <t>Fórmulas</t>
  </si>
  <si>
    <t>Duração do Projeto:</t>
  </si>
  <si>
    <t>BII - 661,12€/Mês</t>
  </si>
  <si>
    <t>BII</t>
  </si>
  <si>
    <t>Perfil</t>
  </si>
  <si>
    <t>Insc. Curso S/ Grau</t>
  </si>
  <si>
    <t>Insc. em Mestrado</t>
  </si>
  <si>
    <t>Insc. em PhD</t>
  </si>
  <si>
    <t>M26</t>
  </si>
  <si>
    <t>M27</t>
  </si>
  <si>
    <t>M28</t>
  </si>
  <si>
    <t>M29</t>
  </si>
  <si>
    <t>M30</t>
  </si>
  <si>
    <t>M31</t>
  </si>
  <si>
    <t>M32</t>
  </si>
  <si>
    <t>M33</t>
  </si>
  <si>
    <t>Nº Anos de Amortização:</t>
  </si>
  <si>
    <t>nº</t>
  </si>
  <si>
    <t>Valor elegível</t>
  </si>
  <si>
    <t>Anos</t>
  </si>
  <si>
    <t>%</t>
  </si>
  <si>
    <t>1º ano</t>
  </si>
  <si>
    <t>2º ano</t>
  </si>
  <si>
    <t>3º ano</t>
  </si>
  <si>
    <t>4º ano</t>
  </si>
  <si>
    <t>5º ano</t>
  </si>
  <si>
    <t>6º ano</t>
  </si>
  <si>
    <t>7º ano</t>
  </si>
  <si>
    <t>8º ano</t>
  </si>
  <si>
    <t>9º ano</t>
  </si>
  <si>
    <t>10º ano</t>
  </si>
  <si>
    <t>Período de Amortização:</t>
  </si>
  <si>
    <t>Duração do Projecto:</t>
  </si>
  <si>
    <t>Início da Amortização:</t>
  </si>
  <si>
    <t>Meses de amortizações elegíveis:</t>
  </si>
  <si>
    <t>Valor Elegível:</t>
  </si>
  <si>
    <t>Sem IVA</t>
  </si>
  <si>
    <t>Valor Não Elegível:</t>
  </si>
  <si>
    <t>Com IVA</t>
  </si>
  <si>
    <t>Valor /Mês</t>
  </si>
  <si>
    <t>NºMeses Elegíveis</t>
  </si>
  <si>
    <t>Valor Elegível</t>
  </si>
  <si>
    <t>No.</t>
  </si>
  <si>
    <t xml:space="preserve"> EQUIPMENT DESIGNATION</t>
  </si>
  <si>
    <r>
      <t>Base Value</t>
    </r>
    <r>
      <rPr>
        <sz val="8"/>
        <color theme="0"/>
        <rFont val="Calibri"/>
        <family val="2"/>
      </rPr>
      <t xml:space="preserve">
(without VAT)</t>
    </r>
    <r>
      <rPr>
        <sz val="11"/>
        <color theme="0"/>
        <rFont val="Calibri"/>
        <family val="2"/>
      </rPr>
      <t>*</t>
    </r>
  </si>
  <si>
    <r>
      <t>Amortization Period</t>
    </r>
    <r>
      <rPr>
        <sz val="8"/>
        <color theme="0"/>
        <rFont val="Calibri"/>
        <family val="2"/>
      </rPr>
      <t xml:space="preserve"> 
(Years)</t>
    </r>
  </si>
  <si>
    <t>Acquisition Month</t>
  </si>
  <si>
    <r>
      <t xml:space="preserve">Eligible Cost
</t>
    </r>
    <r>
      <rPr>
        <sz val="8"/>
        <color theme="0"/>
        <rFont val="Calibri"/>
        <family val="2"/>
      </rPr>
      <t>(Value to indicate in the appication) / without VAT</t>
    </r>
  </si>
  <si>
    <r>
      <t>Non-Eligible Cost</t>
    </r>
    <r>
      <rPr>
        <sz val="8"/>
        <color theme="0"/>
        <rFont val="Calibri"/>
        <family val="2"/>
      </rPr>
      <t xml:space="preserve">
(5% OH) / Includes VAT at 23% rate</t>
    </r>
  </si>
  <si>
    <t>Institution**</t>
  </si>
  <si>
    <t>Notes:</t>
  </si>
  <si>
    <t>Alerts:</t>
  </si>
  <si>
    <t>Rubric</t>
  </si>
  <si>
    <t>Equipment</t>
  </si>
  <si>
    <t>Amortization Period 
(Years)</t>
  </si>
  <si>
    <t>Notes</t>
  </si>
  <si>
    <t>Agitador Vortex: Mecânico/Magnético/Incubador/Mini-Agitador                                                                            Agitators Vortex: Mechanical/Magnetic/Incubator/Mini-Agitator</t>
  </si>
  <si>
    <t>Amplificador: Fotodiodo/ Som/ Tensão/ Tensão de baixo ruído                                                                                  Amplifier: Photodiode/ Sound/ Voltage/ Low noise voltage</t>
  </si>
  <si>
    <t>Analisador de rede vectorial   Vector network analyzer</t>
  </si>
  <si>
    <t xml:space="preserve">Anemómetro digital    Digital anemometer </t>
  </si>
  <si>
    <t xml:space="preserve">Aparafusadora/Berbequim/Lixadora/Motosserra/Roçadora                                                                               Screwdriver/Drill/Sander/Chainsaw/Chainsaw Brush </t>
  </si>
  <si>
    <t xml:space="preserve">Aparelho de ar condicionado, Aquecedor, Irradiador, Termoventilador                                                                               Air conditioner, Heater, Radiator, Thermofan  </t>
  </si>
  <si>
    <t>Autocolimador Óptico    Optical Autocollider</t>
  </si>
  <si>
    <t>Balança de precisão: Analítica / Electrónica   Precision balance: Analytical / Electronics</t>
  </si>
  <si>
    <t>Banho: Maria/Seco/Circulador/Termostático/Refrigerado/ Termostatizado/Areia/Ultrasons                                      Bath: water bath/Dry/Circulator/Thermostatic/Refrigerated/ Thermostatized/Sand/Ultrasound</t>
  </si>
  <si>
    <t>Barco: Pneumatico / Borracha / Insuflável (com ou sem motor)                                                                                         Boat: Pneumatic / Rubber / Inflatable (with or without engine)</t>
  </si>
  <si>
    <t xml:space="preserve">Binóculos Científicos     Scientific Binoculars </t>
  </si>
  <si>
    <t xml:space="preserve">Braço Hidráulico com controlador para uso em câmeras fotográficas                                                                  Hydraulic arm with controller for use in digital cameras </t>
  </si>
  <si>
    <t>Bússula Científica   Scientific Compass</t>
  </si>
  <si>
    <t>Câmara Científica: Térmica / Termográfica   Scientific Camera: Thermal / Thermographic</t>
  </si>
  <si>
    <t>Câmara ou sistema de eletroforese de proteínas   Chamber or protein electrophoresis system</t>
  </si>
  <si>
    <t xml:space="preserve">Câmara, Capela ou Cabine de Fluxo Laminar    Laminar Flow Chamber, Chapel or Cabinet  </t>
  </si>
  <si>
    <t>Câmaras RBG com sensor CMOS   RBG cameras with CMOS sensor</t>
  </si>
  <si>
    <t xml:space="preserve">Câmeras digitais / Máquinas Fotográficas digitais ou manuais / GO Pro / StackShot/ Gravadores Digitais      Digital or manual cameras / GO Pro / StackShot / Digital Recorders    </t>
  </si>
  <si>
    <t>Camisa ou Manta de aquecimento (eléctrica)   Heating shirt or blanket (electric)</t>
  </si>
  <si>
    <t>Centrífugas: Ultra-centrífuga / Microcentrífuga / Minicentrífuga                                                                                        Centrifuges: Ultra-centrifuge / Micro-centrifuge / Mini-centrifuge</t>
  </si>
  <si>
    <t xml:space="preserve">Circulador de refrigeração de água ou ar    Water or air cooling circulator    </t>
  </si>
  <si>
    <t>Colete de Salvação / Fato de mergulho   Life jacket / Wetsuit</t>
  </si>
  <si>
    <t xml:space="preserve">Colunas de som / Altifalantes subaquáticos   Underwater Speakers/ Sound Bars </t>
  </si>
  <si>
    <t xml:space="preserve">Compressor para aquários    Compressor for aquariums </t>
  </si>
  <si>
    <t>Computador (mini, portátil ou de bancada, com ou sem monitor)   PC, Laptop, Mini PC, Notebook, etc</t>
  </si>
  <si>
    <t>Estação de trabalho para PCR</t>
  </si>
  <si>
    <t xml:space="preserve">Comutadores  Switch </t>
  </si>
  <si>
    <t>Congelador Crio   Cryo Freezer</t>
  </si>
  <si>
    <t xml:space="preserve">Contentor: de Azoto / Criogénico   Container: Nitrogen / Cryogenic </t>
  </si>
  <si>
    <t xml:space="preserve">Criotermostato  Cryothermostat </t>
  </si>
  <si>
    <t>Cronómetro/ Temporizador    Stopwatch/Timer</t>
  </si>
  <si>
    <t>Desumidificador   Dehumidifier</t>
  </si>
  <si>
    <t xml:space="preserve">Detector de Gás (portátil ou fixo)    Gas Detector (portable or fixed) </t>
  </si>
  <si>
    <t>Dinamómetro   Dynamometer</t>
  </si>
  <si>
    <t xml:space="preserve">Drone   Drone </t>
  </si>
  <si>
    <t>Durómetro ou durômetro Hardness Tester</t>
  </si>
  <si>
    <t>Electrobomba: Água/ Vapor/ Vácuo/ Sucção de precisão  Electropump: Water/ Steam/Vacuum/ Precision Suction</t>
  </si>
  <si>
    <t>Espectrofotómetro   Spectrophotometer</t>
  </si>
  <si>
    <t>Espectrómetro/ Espectrómetro de massa   Spectrometer / Mass Spectrometer</t>
  </si>
  <si>
    <t>Estação informática  Informatic Workstation</t>
  </si>
  <si>
    <t>Estação Meteorológica (com ou sem registador) Meteorological Station (with or without logger)</t>
  </si>
  <si>
    <t>Esterilizador / Autoclave   Sterilizer / Autoclave</t>
  </si>
  <si>
    <t xml:space="preserve">Estufa em madeira para plantas   Wood greenhouse for plants </t>
  </si>
  <si>
    <t xml:space="preserve">Estufa em metal para plantas   Metal greenhouse for plants </t>
  </si>
  <si>
    <t>Estufas e Fornos de laboratório / Muflas   Laboratory ovens / Muffles</t>
  </si>
  <si>
    <t xml:space="preserve">Foco de iluminação para debaixo de água    Lighting focus for underwater </t>
  </si>
  <si>
    <t>Fonte Radioativa    Radioactive Source</t>
  </si>
  <si>
    <t>Fotocopiadora  Photocopying</t>
  </si>
  <si>
    <t>Frigoríficos/ Arcas congeladoras (Horizontais/Verticais)/ Combinados                                                               Refrigerators/ Freezers (Horizontal/Vertical)/ Combined</t>
  </si>
  <si>
    <t>Funil de filtração magnético   Magnetic filtration funnel</t>
  </si>
  <si>
    <t xml:space="preserve">Garrafa para amostragem de água   Bottle for water sampling </t>
  </si>
  <si>
    <t>Gerador de:  Azoto /  Vácuo / Gases   Generator: Nitrogen / Vacuum / Gases</t>
  </si>
  <si>
    <t>GPS Portatil/ Carros   Portable/Car GPS</t>
  </si>
  <si>
    <t xml:space="preserve">Gravador de som / Memogravador / Microgravador  Sound Recorder / Memorecorder / Microrecorder </t>
  </si>
  <si>
    <t xml:space="preserve">Hidrofone    Hydrophone </t>
  </si>
  <si>
    <t>Impressoras (simples, multifunções, 3D); Digitalizadores   Printers &amp; Scanners</t>
  </si>
  <si>
    <t xml:space="preserve">Incubadoras /Câmaras Climáticas  Incubators /Climatic Chambers   </t>
  </si>
  <si>
    <t>Interface de Aquisição de dados    Workstation</t>
  </si>
  <si>
    <t>Lanterna de fluorescência (para faroladas no mar) Fluorescence lantern for sea observations</t>
  </si>
  <si>
    <t xml:space="preserve">Laser/Diodos de Laser para Microscopia   Laser/Laser Diodes for Microscopy </t>
  </si>
  <si>
    <t>Leitor de livros digitais    ebook / Tablet / Ipad</t>
  </si>
  <si>
    <t xml:space="preserve">Leitor de micro-placas  Micro-plate reader  </t>
  </si>
  <si>
    <t>Leitor/gravador de DVD  DVD/DVD recorder</t>
  </si>
  <si>
    <t>Lupa    Magnifying glass</t>
  </si>
  <si>
    <t>Macropipetas e Micropipetas electrónicas   Electronic macropipettes and micropipettes</t>
  </si>
  <si>
    <t>Máquina de corte de solos   Soil cutting machine</t>
  </si>
  <si>
    <t>Máquina de polimento de fibra óptica   Fiber optic polishing machine</t>
  </si>
  <si>
    <t>Máquina de serra com lâmina de diamante    Saw machine with diamond blade</t>
  </si>
  <si>
    <t xml:space="preserve">Máquina para selar sacos a vácuo     Vacuum sealing bag machine   </t>
  </si>
  <si>
    <t>Máquinas de Lavar Loiça    Dishwashers</t>
  </si>
  <si>
    <t xml:space="preserve">Mecanismo de coleta de sedimentação    Sedimentation collection mechanism </t>
  </si>
  <si>
    <t>Medidor de: Humidade / Vácuo /PH / Pull-Off / Oxigénio/ Multiparâmetro                                                                         Meter of: Humidity / Vacuum / PH / Pull-Off / Oxygen / Multiparameter</t>
  </si>
  <si>
    <t xml:space="preserve">Mesa Digitalizadora com ecran   Interactive Pen Displays &amp; Touch Screen Tablets </t>
  </si>
  <si>
    <t>Mesas: Vibratorias/Anti-vibração/ Elevatorias  Tables: Vibration/Anti-vibration/ Elevation</t>
  </si>
  <si>
    <t xml:space="preserve">Microscópio  Microscope  </t>
  </si>
  <si>
    <t xml:space="preserve">Mini Extrusora   Mini Extruder </t>
  </si>
  <si>
    <t>Mobiliário especifico para laboratório: mesas, cadeiras,estantes, armários, bancadas                                     Specific laboratory furniture: tables, chairs, shelving, cabinets, countertops</t>
  </si>
  <si>
    <t xml:space="preserve">Moinho de Laboratório / Esferas    Laboratory / Ball Mill   </t>
  </si>
  <si>
    <t>Monitor de Computador  PC Monitor</t>
  </si>
  <si>
    <t xml:space="preserve">Multímetro   Multimeter  </t>
  </si>
  <si>
    <t>Osciloscópio   Oscilloscope</t>
  </si>
  <si>
    <t>Peça para microscópio: Câmara Digital de Microscopia   Microscope Part: Digital Microscopy Camera</t>
  </si>
  <si>
    <t>Peça para microscópio: Motor    Microscope part: Motor</t>
  </si>
  <si>
    <t xml:space="preserve">Peças para máquinas fotográficas - Objetivas/Lentes/Flash   Camera parts - Lenses/Flash </t>
  </si>
  <si>
    <t>Peças para microscópio (Lentes/Objectivas/Prismas/Filtros/Lupa Estereoscópica)                                              Microscope Componentes (Lenses/ Prisms/Filters/Stereoscopic Magnifying Glass)</t>
  </si>
  <si>
    <t>Peças para microscópio: Cabeça óptica / Estabilizador  Microscope parts: Optical head / Stabilizer</t>
  </si>
  <si>
    <t>Perfurador magnético  Magnetic punch</t>
  </si>
  <si>
    <t>Placa de Aquecimento (com ou sem agitação magnética)  Heating plate (with or without magnetic agitation)</t>
  </si>
  <si>
    <t>Processador do cumputador (CPU)  Central Processing Unit (CPU)</t>
  </si>
  <si>
    <t>Produtos de electromecânica e controlo de movimentos (Mesas/Cilindros/Servos)                         Electromechanical and motion control products (Tables/Cylinders/Servos)</t>
  </si>
  <si>
    <t>Programas para computadores, Anti-virus, etc     Software</t>
  </si>
  <si>
    <t xml:space="preserve">Projetor, Videoprojetor   Projector, Video projector  </t>
  </si>
  <si>
    <t>Purificador de Ar   Air Purifier</t>
  </si>
  <si>
    <t>Purificador de Ozono / Ozone cleaner</t>
  </si>
  <si>
    <t xml:space="preserve">Rastreador Ocular para pesquisa (portátil/vídeo) com ou sem Kit de Biometria     Eye Tracker </t>
  </si>
  <si>
    <t>Reatores de micro-ondas alto desempenho   High performance microwave reactors</t>
  </si>
  <si>
    <t xml:space="preserve">Refractómetro   Refractometer </t>
  </si>
  <si>
    <t>Registador Acústico  Acoustic Logger</t>
  </si>
  <si>
    <t>Registador de Dados / Transdutor de pressão    Data Logger</t>
  </si>
  <si>
    <t xml:space="preserve">Regulador de tensão (Monofáscio ou Trifásico)   Voltage regulator (Single phase or three-phase) </t>
  </si>
  <si>
    <t xml:space="preserve">Relógio: Smartband / Smartwatch   Watch: Smartband / Smartwatch </t>
  </si>
  <si>
    <t>Reómetro  Rheometer</t>
  </si>
  <si>
    <t>Router  Router</t>
  </si>
  <si>
    <t>ROV - Veículo submarino operado remotamente       ROV- Remotely operated underwater vehicle</t>
  </si>
  <si>
    <t>Sensor de: Ozono / Movimento/Temperatura/Nível    Sensor: Ozone / Movement/Temperature/Level</t>
  </si>
  <si>
    <t xml:space="preserve">Sensores/dispositivos tecnológicos utilizados como peças de vestuário (óculos, relógios, sapatos, pulseiras, camisas, toucas, etc)     Sensors/technological devices used as garments (glasses, watches, shoes, bracelets, shirts, caps, etc.) </t>
  </si>
  <si>
    <t>Servidor / Servidor    Supermicro / PowerEdge</t>
  </si>
  <si>
    <t xml:space="preserve">Sistema completo de RADAR + GPS colocados em animais  (terra, mar)                                                                      Complete RADAR + GPS system placed on animals (land, sea)  </t>
  </si>
  <si>
    <t xml:space="preserve">Sistema de Cromatografia: líquida ou gasosa / HPLC / PCR                                                                                    Chromatography system: liquid or gaseous / HPLC / PCR  </t>
  </si>
  <si>
    <t>Sistema de deposição Langmuir-Blodgett    Langmuir-Blodgett deposition system</t>
  </si>
  <si>
    <t>Sistema de medição do massa molecular, analisador de alto desempenho (Zetasizer Nano Z)                              Molecular mass measurement system, high performance analyzer (Zetasizer Nano Z)</t>
  </si>
  <si>
    <t>Sistema de produção de água purificada, desmineralizada e pirogénica /  Aparelho de filtração  de água Purified, demineralised and pyrocus water production system / Water Filtration apparatus</t>
  </si>
  <si>
    <t>Sistema de Purificação de água de aquários (composto por sensores de temperatura, sensores de PH e elétrodos)  Aquarium Water Purification System (composed of temperature sensors, PH sensors and electrodes)</t>
  </si>
  <si>
    <t xml:space="preserve">Sistema de Touch Real-Time   Real-Time Touch System  </t>
  </si>
  <si>
    <t>Sistema de UPS (com ou sem armários)  UPS system (with or without closets)</t>
  </si>
  <si>
    <t xml:space="preserve">Sistema de Videoconferência   Videoconferencing System  </t>
  </si>
  <si>
    <t>Sistema Gerador de Imagens CCD de quimioluminescência sensível                                                                                 CCD Imaging System of sensitive chemiluminescence</t>
  </si>
  <si>
    <t xml:space="preserve">Sistema ou Camera de Videovigilancia   Videosurveillance System or Camera  </t>
  </si>
  <si>
    <t>Sonda: de Pesca/ Multiparamétrica    Probe: Fishing/ Multiparametric</t>
  </si>
  <si>
    <t>TEK Scooters (para recolher amostras na água) TEK Scooters (to collect samples in the water)</t>
  </si>
  <si>
    <t>Telefone por Satélite / Telemóvel /Smartphone / Iphone     Satellite Phone / Mobile Phone / Smartphone / Iphone</t>
  </si>
  <si>
    <t xml:space="preserve">Telémetro  Rangefinder </t>
  </si>
  <si>
    <t>Telescópio   Telescope</t>
  </si>
  <si>
    <t xml:space="preserve">Televisores, LCD, Plasmas   Televisions, LCD, Plasmas  </t>
  </si>
  <si>
    <t xml:space="preserve">Termocicladores para PCR    Thermocyclers for PCR  </t>
  </si>
  <si>
    <t>Termómetro: Digital (exclui os termómetros básicos de higiene e sáude) / de contacto electrónico/ Frontal       Thermometer: Digital (excludes basic hygiene and health thermometers) / electronic contact/ Front</t>
  </si>
  <si>
    <t xml:space="preserve">Transiluminador UV   UV Transilluminator </t>
  </si>
  <si>
    <t xml:space="preserve">Transmissor Satélite    Satellite Transmitter </t>
  </si>
  <si>
    <t>Ventiladores e ventoínhas (aclimatização e circulação de ar nos laboratórios)                                                                                Fans (acclimatization and air circulation in laboratories)</t>
  </si>
  <si>
    <t>Viscosímetro (ou viscómetro)  Viscometer</t>
  </si>
  <si>
    <t>Voltímetro   Voltmeter</t>
  </si>
  <si>
    <t>Walkie Talkie    Walkie Talkie</t>
  </si>
  <si>
    <t>AQ</t>
  </si>
  <si>
    <t>Adaptador Portas USB    USB Adapter</t>
  </si>
  <si>
    <t>Not Equipament</t>
  </si>
  <si>
    <t xml:space="preserve">Apple pencil  </t>
  </si>
  <si>
    <t xml:space="preserve">Apresentador a Laser   Laser Presenter </t>
  </si>
  <si>
    <t>Armadilhas simples para animais  Simple traps for animals</t>
  </si>
  <si>
    <t xml:space="preserve">Auscultadores / Auscultadores com microfone / Auriculares                                                                                                                              Headphones / Headphones with microphone / Headset </t>
  </si>
  <si>
    <t xml:space="preserve">Bateria/ Mochila para computador portátil  Battery / Backpack for Laptop </t>
  </si>
  <si>
    <t xml:space="preserve">Bomba de baixo valor, para aquários de pequena dimensão   Low-value pump, for small aquariums </t>
  </si>
  <si>
    <t>Cabos e Extensões UPS Supressores de Picos de tensão   Voltage Peak Suppressor UPS cables and extensions UPS</t>
  </si>
  <si>
    <t xml:space="preserve">Carregador para veículos eléctricos   Charger for electric vehicles </t>
  </si>
  <si>
    <t>Carros manuais de Plataforma/Transporte/Serviço &lt;300 Kg   Platform/Transport/Service Manual Cars &lt;300 Kg</t>
  </si>
  <si>
    <t>Coluna Bluetooth / Colunas de Som   Bluetooth Speaker / Speakers</t>
  </si>
  <si>
    <t xml:space="preserve">Comutador   Switch </t>
  </si>
  <si>
    <t>Conversor de vídeos em ficheiros digitais   Video capture converter USB</t>
  </si>
  <si>
    <t xml:space="preserve">Disco Externo de Armazenamento de dados      External Data Storage Disk </t>
  </si>
  <si>
    <t>Disco Rígido (interno / externo)  Hard Drive  (internal/ external)</t>
  </si>
  <si>
    <t xml:space="preserve">Disk Drill </t>
  </si>
  <si>
    <t xml:space="preserve">Eléctrodo (geralmente não é E mas será necessário verificar previamente)                                                                       Electrode (usually not E but will need to check in advance)  </t>
  </si>
  <si>
    <t>Estação de acoplamento Docking station</t>
  </si>
  <si>
    <t>Estojo para maquina fotográfica   Camera case</t>
  </si>
  <si>
    <t>Extensor de Wi-Fi   Wi-Fi Extender</t>
  </si>
  <si>
    <t>Fonte de Alimentação  Power Supply</t>
  </si>
  <si>
    <t>Geleira rígida   Glacier</t>
  </si>
  <si>
    <t xml:space="preserve">Jarro eléctrico   Electric jug </t>
  </si>
  <si>
    <t>Martelo de Agulhas Pneumático (até 150€)   Pneumatic Needle Hammer (up to 150€)</t>
  </si>
  <si>
    <t>Mesa Digitalizadora sem ecran    Digitizer table without screen</t>
  </si>
  <si>
    <t>Motor para Viaturas/Barcos (substituição)     Engine for Vehicles/Boats (replacement)</t>
  </si>
  <si>
    <t>Paineis Pop-up / Pop-up Stand    Pop-up / Pop-up Stand Panels</t>
  </si>
  <si>
    <t xml:space="preserve">Paquímetro (com ou sem régua)   Caliper (with or without ruler) </t>
  </si>
  <si>
    <t>Pen drive</t>
  </si>
  <si>
    <t>Pistola de ar quente (de reduzido valor)   Hot air gun (low value)</t>
  </si>
  <si>
    <t>Placa de Memória Interna/Externa  Internal/External Memory Board</t>
  </si>
  <si>
    <t xml:space="preserve">Placa-mãe   Motherboard </t>
  </si>
  <si>
    <t>Placas Gráficas   Graphics Cards</t>
  </si>
  <si>
    <t>Powerbank / Powerbar</t>
  </si>
  <si>
    <t>Processador Informático (microchip especializado)     Computer processor (specialized microchip)</t>
  </si>
  <si>
    <t>Protetores de Acrilico de Mesa com ou sem janela (exemplo: usados na COVID)                                                             Table Acrilic Protectors with or without window (example: used in COVID)</t>
  </si>
  <si>
    <t>Ratos Informáticos / Teclados    Computer mice / Keyboards</t>
  </si>
  <si>
    <t>Renovação de licenças de Software   Software license renewal</t>
  </si>
  <si>
    <t>Sensores (pequenas peças) para colocar em animais/árvores/campo/mar                                                                 Sensors (small parts) for laying on animals/trees/field/sea</t>
  </si>
  <si>
    <t xml:space="preserve">Supressor de Aniões/Catiões  Anion/Cation Suppressor </t>
  </si>
  <si>
    <t>Tela de Projecção     Projection Screen</t>
  </si>
  <si>
    <t>Transformador de corrente   Current transformer</t>
  </si>
  <si>
    <t xml:space="preserve">Tripé para maquina fotográfica    Camera Tripod </t>
  </si>
  <si>
    <t>Webcam</t>
  </si>
  <si>
    <t>Ratoeiras simples para animais/ratos</t>
  </si>
  <si>
    <t>Carros manuais de Plataforma/Transporte/Serviço &lt;300 Kg</t>
  </si>
  <si>
    <t>Placas Gráficas</t>
  </si>
  <si>
    <t>Processador Informático (microchip especializado)</t>
  </si>
  <si>
    <t>Bateria para Portatil</t>
  </si>
  <si>
    <t>Adaptador Portas USB</t>
  </si>
  <si>
    <t>Video capture converter USB</t>
  </si>
  <si>
    <t>Sensores (pequenas peças) para colocar em animais/árvores/campo/mar</t>
  </si>
  <si>
    <t>Estação de acoplamento (Docking station) - permite a ligação de varios monitores para o mesmo PC</t>
  </si>
  <si>
    <t>Supressor de Aniões/Cantiões (consumível usado em cromatografia)</t>
  </si>
  <si>
    <t>Paquimetro C/ou sem Régua</t>
  </si>
  <si>
    <t>Motor para Viaturas/Barcos (Substituição)</t>
  </si>
  <si>
    <t>Tripés para maquina fotográfica</t>
  </si>
  <si>
    <t>Estojos para maquina fotográfica</t>
  </si>
  <si>
    <t>Mochilas para PC</t>
  </si>
  <si>
    <t>Powerbank</t>
  </si>
  <si>
    <t>Powerbars</t>
  </si>
  <si>
    <t>Pop UP  / Pop UP Stand / Paineis de divulgação</t>
  </si>
  <si>
    <t xml:space="preserve">Disk Drill (licença/programa online vitalicio) </t>
  </si>
  <si>
    <t>Martelo de Agulhas Pneumático (até ao valor de 150€)</t>
  </si>
  <si>
    <t xml:space="preserve">Bomba para pequenos Aquários de baixo valor (excluem-se as bombas de aquários de grande grande dimensão) </t>
  </si>
  <si>
    <t>Jarro eléctrico para chá</t>
  </si>
  <si>
    <t>Geladeira/Geleira rígida (as azuis de praia)</t>
  </si>
  <si>
    <t>Carregador para veículos EV (eléctricos)</t>
  </si>
  <si>
    <t>Protetores de Acrilico de Mesa com ou sem janela (exemplo: usados na COVID)</t>
  </si>
  <si>
    <t>Pistola de Ar quente (de reduzido valor)</t>
  </si>
  <si>
    <t>Mesa Digitalizadora sem ecran (wacom intus comfort plus)</t>
  </si>
  <si>
    <t>Lista de Instituições</t>
  </si>
  <si>
    <t>Versão do Ficheiro:</t>
  </si>
  <si>
    <r>
      <t>Duração máxima dos projetos</t>
    </r>
    <r>
      <rPr>
        <sz val="8"/>
        <color theme="1"/>
        <rFont val="Calibri"/>
        <family val="2"/>
        <scheme val="minor"/>
      </rPr>
      <t xml:space="preserve"> [Meses]</t>
    </r>
    <r>
      <rPr>
        <sz val="11"/>
        <color theme="1"/>
        <rFont val="Calibri"/>
        <family val="2"/>
        <scheme val="minor"/>
      </rPr>
      <t>:</t>
    </r>
  </si>
  <si>
    <t>Spreadsheet</t>
  </si>
  <si>
    <t>Description / Notes</t>
  </si>
  <si>
    <r>
      <t xml:space="preserve">Introdução
</t>
    </r>
    <r>
      <rPr>
        <b/>
        <i/>
        <u/>
        <sz val="11"/>
        <color theme="4" tint="-0.249977111117893"/>
        <rFont val="Calibri"/>
        <family val="2"/>
        <scheme val="minor"/>
      </rPr>
      <t>Introduction</t>
    </r>
  </si>
  <si>
    <t>PT</t>
  </si>
  <si>
    <t>EN</t>
  </si>
  <si>
    <r>
      <t xml:space="preserve">&gt;&gt; Regulamento de projetos financiados exclusivamente por fundos nacionais // </t>
    </r>
    <r>
      <rPr>
        <i/>
        <sz val="11"/>
        <color theme="4" tint="-0.249977111117893"/>
        <rFont val="Calibri"/>
        <family val="2"/>
        <scheme val="minor"/>
      </rPr>
      <t xml:space="preserve">Regulation on Projects Funded Solely by National Funds </t>
    </r>
  </si>
  <si>
    <t>&gt;&gt; Ethics Self-Assessment Guide</t>
  </si>
  <si>
    <r>
      <t xml:space="preserve">&gt;&gt; Guião CIÊNCIAVITAE // </t>
    </r>
    <r>
      <rPr>
        <i/>
        <sz val="11"/>
        <color theme="4" tint="-0.249977111117893"/>
        <rFont val="Calibri"/>
        <family val="2"/>
        <scheme val="minor"/>
      </rPr>
      <t>CIÊNCIAVITAE Guide</t>
    </r>
  </si>
  <si>
    <t>&gt;&gt; FAQ</t>
  </si>
  <si>
    <r>
      <t xml:space="preserve">&gt;&gt; Contactos importantes para esclarecimentos de dúvidas // </t>
    </r>
    <r>
      <rPr>
        <i/>
        <sz val="11"/>
        <color theme="4" tint="-0.249977111117893"/>
        <rFont val="Calibri"/>
        <family val="2"/>
        <scheme val="minor"/>
      </rPr>
      <t>Important contacts for informations about the call</t>
    </r>
    <r>
      <rPr>
        <i/>
        <sz val="11"/>
        <rFont val="Calibri"/>
        <family val="2"/>
        <scheme val="minor"/>
      </rPr>
      <t>:</t>
    </r>
  </si>
  <si>
    <r>
      <rPr>
        <sz val="11"/>
        <rFont val="Calibri"/>
        <family val="2"/>
      </rPr>
      <t xml:space="preserve">&gt;&gt;  FCiências.ID - </t>
    </r>
    <r>
      <rPr>
        <u/>
        <sz val="11"/>
        <color indexed="30"/>
        <rFont val="Calibri"/>
        <family val="2"/>
      </rPr>
      <t>nacionaisID@fciencias-id.pt</t>
    </r>
  </si>
  <si>
    <r>
      <t xml:space="preserve">&gt;&gt; Página com dados gerais do projeto e dos Investigadores Responsável (IR) e Co-Responsável (Co-IR).
</t>
    </r>
    <r>
      <rPr>
        <i/>
        <sz val="11"/>
        <color theme="4" tint="-0.249977111117893"/>
        <rFont val="Calibri"/>
        <family val="2"/>
        <scheme val="minor"/>
      </rPr>
      <t>Contains general informations concerning the application and the Principal Investigator (PI) and co-Principal Investigator  (co-PI).</t>
    </r>
  </si>
  <si>
    <r>
      <t xml:space="preserve">&gt;&gt; Aconselhamos o preenchimento das células por ordem sequencial de linha por forma a maximizar o apoio que o formulário pode dar no pré-preenchimento dos campos seguintes. O ficheiro está elaborado por forma a apresentar cálculos automáticos à medida que for sendo introduzida informação com uma prévia validação.
</t>
    </r>
    <r>
      <rPr>
        <i/>
        <sz val="11"/>
        <color theme="4" tint="-0.249977111117893"/>
        <rFont val="Calibri"/>
        <family val="2"/>
        <scheme val="minor"/>
      </rPr>
      <t>Filling in the cells by sequencial lineorder is higly recommended, in order to maximize the suppport given by the form in the autofill of subsequent fields. The file is constructed to present automatic calculations as information is introduced with a pre-validation.</t>
    </r>
  </si>
  <si>
    <r>
      <t xml:space="preserve">&gt;&gt; Ter em atenção os alertas // </t>
    </r>
    <r>
      <rPr>
        <i/>
        <sz val="11"/>
        <color theme="4" tint="-0.249977111117893"/>
        <rFont val="Calibri"/>
        <family val="2"/>
        <scheme val="minor"/>
      </rPr>
      <t>Be aware of the 'Alerts' given during the file filling.</t>
    </r>
  </si>
  <si>
    <r>
      <t xml:space="preserve">&gt;&gt; A </t>
    </r>
    <r>
      <rPr>
        <b/>
        <sz val="11"/>
        <rFont val="Calibri"/>
        <family val="2"/>
        <scheme val="minor"/>
      </rPr>
      <t>FCUL</t>
    </r>
    <r>
      <rPr>
        <sz val="11"/>
        <rFont val="Calibri"/>
        <family val="2"/>
        <scheme val="minor"/>
      </rPr>
      <t xml:space="preserve"> não poderá ser selecionada como Instituição Proponente ou Participante.
</t>
    </r>
    <r>
      <rPr>
        <b/>
        <i/>
        <sz val="11"/>
        <color theme="4" tint="-0.249977111117893"/>
        <rFont val="Calibri"/>
        <family val="2"/>
      </rPr>
      <t>FCUL</t>
    </r>
    <r>
      <rPr>
        <i/>
        <sz val="11"/>
        <color theme="4" tint="-0.249977111117893"/>
        <rFont val="Calibri"/>
        <family val="2"/>
      </rPr>
      <t xml:space="preserve"> cannot be selected as Principal Contractor or Participant Institution.</t>
    </r>
  </si>
  <si>
    <r>
      <t xml:space="preserve">&gt;&gt; Para preenchimento com a lista de Equipamentos que pretende adquirir através da FCiências.ID.
</t>
    </r>
    <r>
      <rPr>
        <i/>
        <sz val="11"/>
        <color theme="4" tint="-0.249977111117893"/>
        <rFont val="Calibri"/>
        <family val="2"/>
        <scheme val="minor"/>
      </rPr>
      <t>To fill in the list of Equipments to be acquired through FCiências.ID's budget.</t>
    </r>
  </si>
  <si>
    <r>
      <t xml:space="preserve">&gt;&gt; Nesta rubrica deve ser considerado o valor do bem sem o IVA dado que este imposto é reportado à Autoridade Tributária e ressarcido à FCiências.ID (IVA ressarcido não aplicável ao montante não imputável ao projeto).
</t>
    </r>
    <r>
      <rPr>
        <i/>
        <sz val="11"/>
        <color theme="4" tint="-0.249977111117893"/>
        <rFont val="Calibri"/>
        <family val="2"/>
        <scheme val="minor"/>
      </rPr>
      <t>The value of the goods should be considered without VAT, as this tax is reported to the Tax Autority and reimbursed to FCiências.ID (VAT's reimbursement is not applied to the non eligible cost).</t>
    </r>
  </si>
  <si>
    <r>
      <t xml:space="preserve">&gt;&gt; No formulário de candidatura, colocar o valor total das amortizações elegíveis no ano da aquisição.
</t>
    </r>
    <r>
      <rPr>
        <i/>
        <sz val="11"/>
        <color theme="4" tint="-0.249977111117893"/>
        <rFont val="Calibri"/>
        <family val="2"/>
        <scheme val="minor"/>
      </rPr>
      <t>In the FCT application form, fill in the total amount of eligible amortizations in the year of acquisition.</t>
    </r>
  </si>
  <si>
    <r>
      <t xml:space="preserve">&gt;&gt; Poderá usar o campo das "Notas" para colocar informação que facilite a validação da despesa pelo gestor.
</t>
    </r>
    <r>
      <rPr>
        <sz val="11"/>
        <color theme="4" tint="-0.249977111117893"/>
        <rFont val="Calibri"/>
        <family val="2"/>
        <scheme val="minor"/>
      </rPr>
      <t>The 'Notes' field can be used to write information that may facilitate the validation of the expense by the project manager.</t>
    </r>
  </si>
  <si>
    <r>
      <t xml:space="preserve">&gt;&gt; Desgaste acelerado do equipamento não reduz o tempo de amortização do mesmo.
</t>
    </r>
    <r>
      <rPr>
        <sz val="11"/>
        <color theme="4" tint="-0.249977111117893"/>
        <rFont val="Calibri"/>
        <family val="2"/>
        <scheme val="minor"/>
      </rPr>
      <t>Accelerated wear of the equipment does not reduce its amortization period.</t>
    </r>
  </si>
  <si>
    <r>
      <t xml:space="preserve">&gt;&gt; Aquisição de Software é Equipamento mas a renovação das respetivas licenças é Aquisição de Bens e Serviços.
</t>
    </r>
    <r>
      <rPr>
        <sz val="11"/>
        <color theme="4" tint="-0.249977111117893"/>
        <rFont val="Calibri"/>
        <family val="2"/>
        <scheme val="minor"/>
      </rPr>
      <t xml:space="preserve">Software acquisition is considered in the Equipment expense category but their renovation is to be included in the Service Procurement and Acquisitions expense category. </t>
    </r>
  </si>
  <si>
    <r>
      <t xml:space="preserve">&gt;&gt; Custos Diretos - rubricas de despesa direta (DD) // </t>
    </r>
    <r>
      <rPr>
        <i/>
        <sz val="11"/>
        <color theme="8" tint="-0.499984740745262"/>
        <rFont val="Calibri"/>
        <family val="2"/>
        <scheme val="minor"/>
      </rPr>
      <t>Direct costs - categories of direct expenses (DD):</t>
    </r>
  </si>
  <si>
    <r>
      <t xml:space="preserve">&gt;&gt; </t>
    </r>
    <r>
      <rPr>
        <b/>
        <sz val="11"/>
        <rFont val="Calibri"/>
        <family val="2"/>
        <scheme val="minor"/>
      </rPr>
      <t>Aquisição  de  outros  bens  e  serviços</t>
    </r>
    <r>
      <rPr>
        <sz val="11"/>
        <rFont val="Calibri"/>
        <family val="2"/>
        <scheme val="minor"/>
      </rPr>
      <t xml:space="preserve"> (AQ) relacionados  diretamente  com  a  execução  do projeto, incluindo os custos de consultores que não configurem subcontratos;
</t>
    </r>
    <r>
      <rPr>
        <b/>
        <i/>
        <sz val="11"/>
        <color theme="4" tint="-0.249977111117893"/>
        <rFont val="Calibri"/>
        <family val="2"/>
      </rPr>
      <t>Service procurement and Acquisitions</t>
    </r>
    <r>
      <rPr>
        <i/>
        <sz val="11"/>
        <color theme="4" tint="-0.249977111117893"/>
        <rFont val="Calibri"/>
        <family val="2"/>
      </rPr>
      <t xml:space="preserve"> (AQ) - Acquisition of other goods and services directly related to the project execution, including costs with consultants that do not establish subcontracts.</t>
    </r>
    <r>
      <rPr>
        <sz val="11"/>
        <rFont val="Calibri"/>
        <family val="2"/>
      </rPr>
      <t xml:space="preserve">
     • Exemplos de custos elegíveis: análises laboratoriais (não são SC - Subcontratos). // </t>
    </r>
    <r>
      <rPr>
        <i/>
        <sz val="11"/>
        <color theme="4" tint="-0.249977111117893"/>
        <rFont val="Calibri"/>
        <family val="2"/>
      </rPr>
      <t>Eg. of eligible costs: laboratory tests (not SC)</t>
    </r>
    <r>
      <rPr>
        <sz val="11"/>
        <rFont val="Calibri"/>
        <family val="2"/>
      </rPr>
      <t xml:space="preserve">
     • Exemplos de custos não elegíveis: consumíveis de papelaria e informática (Ex: papel, tinteiros e toners). // </t>
    </r>
    <r>
      <rPr>
        <i/>
        <sz val="11"/>
        <color theme="4" tint="-0.249977111117893"/>
        <rFont val="Calibri"/>
        <family val="2"/>
      </rPr>
      <t>Eg. of non eligible costs: stationary and informatic consumables (such as paper, ink cartridges and toners)</t>
    </r>
    <r>
      <rPr>
        <sz val="11"/>
        <rFont val="Calibri"/>
        <family val="2"/>
      </rPr>
      <t>.</t>
    </r>
  </si>
  <si>
    <r>
      <t xml:space="preserve">     • Em </t>
    </r>
    <r>
      <rPr>
        <u/>
        <sz val="11"/>
        <rFont val="Calibri"/>
        <family val="2"/>
        <scheme val="minor"/>
      </rPr>
      <t>reagentes</t>
    </r>
    <r>
      <rPr>
        <sz val="11"/>
        <rFont val="Calibri"/>
        <family val="2"/>
        <scheme val="minor"/>
      </rPr>
      <t xml:space="preserve"> e </t>
    </r>
    <r>
      <rPr>
        <u/>
        <sz val="11"/>
        <rFont val="Calibri"/>
        <family val="2"/>
        <scheme val="minor"/>
      </rPr>
      <t>instrumentos</t>
    </r>
    <r>
      <rPr>
        <sz val="11"/>
        <rFont val="Calibri"/>
        <family val="2"/>
        <scheme val="minor"/>
      </rPr>
      <t xml:space="preserve"> deverá ser considerado o valor do bem sem o IVA dado que este imposto será reportado à Autoridade Tributária e ressarcido à FCiências.ID (de acordo com comunicado da FCiências.ID de 03/02/2021 - </t>
    </r>
    <r>
      <rPr>
        <u/>
        <sz val="11"/>
        <rFont val="Calibri"/>
        <family val="2"/>
        <scheme val="minor"/>
      </rPr>
      <t>Informativo - Restituição do IVA a entidades do SNCT)</t>
    </r>
    <r>
      <rPr>
        <sz val="11"/>
        <rFont val="Calibri"/>
        <family val="2"/>
        <scheme val="minor"/>
      </rPr>
      <t xml:space="preserve">.
</t>
    </r>
    <r>
      <rPr>
        <i/>
        <sz val="11"/>
        <color theme="4" tint="-0.249977111117893"/>
        <rFont val="Calibri"/>
        <family val="2"/>
        <scheme val="minor"/>
      </rPr>
      <t xml:space="preserve">In case of </t>
    </r>
    <r>
      <rPr>
        <b/>
        <i/>
        <sz val="11"/>
        <color theme="4" tint="-0.249977111117893"/>
        <rFont val="Calibri"/>
        <family val="2"/>
      </rPr>
      <t>reagents</t>
    </r>
    <r>
      <rPr>
        <i/>
        <sz val="11"/>
        <color theme="4" tint="-0.249977111117893"/>
        <rFont val="Calibri"/>
        <family val="2"/>
      </rPr>
      <t xml:space="preserve"> and </t>
    </r>
    <r>
      <rPr>
        <b/>
        <i/>
        <sz val="11"/>
        <color theme="4" tint="-0.249977111117893"/>
        <rFont val="Calibri"/>
        <family val="2"/>
      </rPr>
      <t>instruments</t>
    </r>
    <r>
      <rPr>
        <i/>
        <sz val="11"/>
        <color theme="4" tint="-0.249977111117893"/>
        <rFont val="Calibri"/>
        <family val="2"/>
      </rPr>
      <t xml:space="preserve"> only the value of the goods </t>
    </r>
    <r>
      <rPr>
        <i/>
        <u/>
        <sz val="11"/>
        <color theme="4" tint="-0.249977111117893"/>
        <rFont val="Calibri"/>
        <family val="2"/>
      </rPr>
      <t xml:space="preserve">without VAT </t>
    </r>
    <r>
      <rPr>
        <i/>
        <sz val="11"/>
        <color theme="4" tint="-0.249977111117893"/>
        <rFont val="Calibri"/>
        <family val="2"/>
      </rPr>
      <t xml:space="preserve">should be considered as this tax will be reported to the Tax Authority and  reimbursed to FCiências.ID (accordingly with the communication of FCiências.ID of 03/02/2021 - </t>
    </r>
    <r>
      <rPr>
        <i/>
        <u/>
        <sz val="11"/>
        <color theme="4" tint="-0.249977111117893"/>
        <rFont val="Calibri"/>
        <family val="2"/>
      </rPr>
      <t>Informativo - Restituição do IVA a entidades do SNCT</t>
    </r>
    <r>
      <rPr>
        <i/>
        <sz val="11"/>
        <color theme="4" tint="-0.249977111117893"/>
        <rFont val="Calibri"/>
        <family val="2"/>
      </rPr>
      <t>).</t>
    </r>
  </si>
  <si>
    <r>
      <t xml:space="preserve">&gt;&gt; </t>
    </r>
    <r>
      <rPr>
        <b/>
        <sz val="11"/>
        <rFont val="Calibri"/>
        <family val="2"/>
        <scheme val="minor"/>
      </rPr>
      <t>Consultores</t>
    </r>
    <r>
      <rPr>
        <sz val="11"/>
        <rFont val="Calibri"/>
        <family val="2"/>
        <scheme val="minor"/>
      </rPr>
      <t xml:space="preserve"> - Não existe enquanto rubrica pelo que as despesas com deslocações de consultores (alojamento, viagens) e o pagamento de honorários deverão ser imputados à rubrica de AQ.
</t>
    </r>
    <r>
      <rPr>
        <b/>
        <sz val="11"/>
        <color theme="4" tint="-0.249977111117893"/>
        <rFont val="Calibri"/>
        <family val="2"/>
      </rPr>
      <t>Consultants</t>
    </r>
    <r>
      <rPr>
        <sz val="11"/>
        <color theme="4" tint="-0.249977111117893"/>
        <rFont val="Calibri"/>
        <family val="2"/>
      </rPr>
      <t xml:space="preserve"> - Expenses related with displacements (acommodation, travels) and payment of fees should be attributed to AQ.</t>
    </r>
  </si>
  <si>
    <r>
      <t xml:space="preserve">&gt;&gt; </t>
    </r>
    <r>
      <rPr>
        <b/>
        <sz val="11"/>
        <rFont val="Calibri"/>
        <family val="2"/>
        <scheme val="minor"/>
      </rPr>
      <t>Missões</t>
    </r>
    <r>
      <rPr>
        <sz val="11"/>
        <rFont val="Calibri"/>
        <family val="2"/>
        <scheme val="minor"/>
      </rPr>
      <t xml:space="preserve"> (M) - Despesas  com missões no país e no estrangeiro diretamente imputáveis ao projeto, cumpridos os normativos  legais  que  regulam  a  realização  de  despesas  públicas, em particular o Decreto-Lei nº 106/98 de 24 de abril e o Decreto-Lei nº 192/95 de 28 de julho, nas suas redações em vigor.
</t>
    </r>
    <r>
      <rPr>
        <b/>
        <i/>
        <sz val="11"/>
        <color theme="4" tint="-0.249977111117893"/>
        <rFont val="Calibri"/>
        <family val="2"/>
      </rPr>
      <t>Missions</t>
    </r>
    <r>
      <rPr>
        <i/>
        <sz val="11"/>
        <color theme="4" tint="-0.249977111117893"/>
        <rFont val="Calibri"/>
        <family val="2"/>
      </rPr>
      <t xml:space="preserve"> (M) - Expenses with missions in the country and abroad, and directly attributable to the project, complying with the legal normatives that regulates the achievement of public expenses, in particular the  Decree-Law nº 106/98 of April 24 and the Decree-Law  nº 192/95 of July 28, in their current essays.
E</t>
    </r>
    <r>
      <rPr>
        <i/>
        <sz val="11"/>
        <color theme="4" tint="-0.249977111117893"/>
        <rFont val="Calibri"/>
        <family val="2"/>
        <scheme val="minor"/>
      </rPr>
      <t>xpenses with participation on scientific meetings (without presentation), fieldwork</t>
    </r>
  </si>
  <si>
    <r>
      <t xml:space="preserve">&gt;&gt; </t>
    </r>
    <r>
      <rPr>
        <b/>
        <sz val="11"/>
        <rFont val="Calibri"/>
        <family val="2"/>
        <scheme val="minor"/>
      </rPr>
      <t>Demonstração, Promoção e Divulgação</t>
    </r>
    <r>
      <rPr>
        <sz val="11"/>
        <rFont val="Calibri"/>
        <family val="2"/>
        <scheme val="minor"/>
      </rPr>
      <t xml:space="preserve"> (DPD) - Despesas com a demonstração, promoção e divulgação dos resultados do projeto, para ações de disseminação do conhecimento produzido e divulgação pública dos resultados, nomeadamente taxas de  publicação no cumprimento e de acordo com as políticas nacionais de acesso aberto.
</t>
    </r>
    <r>
      <rPr>
        <b/>
        <sz val="11"/>
        <color theme="4" tint="-0.249977111117893"/>
        <rFont val="Calibri"/>
        <family val="2"/>
        <scheme val="minor"/>
      </rPr>
      <t>D</t>
    </r>
    <r>
      <rPr>
        <b/>
        <sz val="11"/>
        <color theme="4" tint="-0.249977111117893"/>
        <rFont val="Calibri"/>
        <family val="2"/>
      </rPr>
      <t>emonstration, Promotion and Disclosure</t>
    </r>
    <r>
      <rPr>
        <sz val="11"/>
        <color theme="4" tint="-0.249977111117893"/>
        <rFont val="Calibri"/>
        <family val="2"/>
      </rPr>
      <t xml:space="preserve"> (DPD) - Expenses with the demonstration, promotion and disclosure of the project’s outputs, namely dissemination fees pursuant to national policies of open access.</t>
    </r>
  </si>
  <si>
    <r>
      <t xml:space="preserve">&gt;&gt; </t>
    </r>
    <r>
      <rPr>
        <b/>
        <sz val="11"/>
        <rFont val="Calibri"/>
        <family val="2"/>
        <scheme val="minor"/>
      </rPr>
      <t>Patentes</t>
    </r>
    <r>
      <rPr>
        <sz val="11"/>
        <rFont val="Calibri"/>
        <family val="2"/>
        <scheme val="minor"/>
      </rPr>
      <t xml:space="preserve"> (P) - Despesas  associadas  ao registo  nacional  e  estrangeiro  de  patentes, direitos  de  autor, modelos de utilidade e desenhos, modelos nacionais ou marcas, quando associadas às outras  formas  de  proteção  intelectual,  designadamente,  taxas,  pesquisas  ao  estado  da técnica e despesas de consultoria.
</t>
    </r>
    <r>
      <rPr>
        <b/>
        <i/>
        <sz val="11"/>
        <color theme="4" tint="-0.249977111117893"/>
        <rFont val="Calibri"/>
        <family val="2"/>
      </rPr>
      <t>Patent registration</t>
    </r>
    <r>
      <rPr>
        <i/>
        <sz val="11"/>
        <color theme="4" tint="-0.249977111117893"/>
        <rFont val="Calibri"/>
        <family val="2"/>
      </rPr>
      <t xml:space="preserve"> (P) - Expenses related to the national and foreign record of patents, copyrights, usefulness models and drawings, national models or brands when related to other forms of intellectual protection, namely rates, researches to the status of the technique and consulting expenses.</t>
    </r>
  </si>
  <si>
    <r>
      <t xml:space="preserve">Resumo
</t>
    </r>
    <r>
      <rPr>
        <b/>
        <i/>
        <u/>
        <sz val="11"/>
        <color theme="4" tint="-0.249977111117893"/>
        <rFont val="Calibri"/>
        <family val="2"/>
        <scheme val="minor"/>
      </rPr>
      <t>Summary</t>
    </r>
  </si>
  <si>
    <r>
      <t xml:space="preserve">&gt;&gt; Tabela Resumo da candidatura para controlo da FCiências.ID (preenchimento automático).
</t>
    </r>
    <r>
      <rPr>
        <i/>
        <sz val="11"/>
        <color theme="4" tint="-0.249977111117893"/>
        <rFont val="Calibri"/>
        <family val="2"/>
        <scheme val="minor"/>
      </rPr>
      <t>Summary table of the application for FCiências.ID control (autofill).</t>
    </r>
  </si>
  <si>
    <r>
      <t xml:space="preserve">&gt;&gt; FCT website - Concurso para Projetos de Investigação de caráter Exploratório em Todos os Domínios Científicos 2024 // </t>
    </r>
    <r>
      <rPr>
        <i/>
        <sz val="11"/>
        <color theme="4" tint="-0.249977111117893"/>
        <rFont val="Calibri"/>
        <family val="2"/>
        <scheme val="minor"/>
      </rPr>
      <t>Call for Exploratory Research Projects in all Scientific Domains 2024</t>
    </r>
  </si>
  <si>
    <r>
      <t xml:space="preserve">&gt;&gt; Metodologia de Aplicação de Custos Simplificados - Montantes Fixos // </t>
    </r>
    <r>
      <rPr>
        <i/>
        <sz val="11"/>
        <color theme="4" tint="-0.249977111117893"/>
        <rFont val="Calibri"/>
        <family val="2"/>
        <scheme val="minor"/>
      </rPr>
      <t>Methodology for Applying Simplified Costs - Lump Sums</t>
    </r>
  </si>
  <si>
    <t>Orçamento Máximo:</t>
  </si>
  <si>
    <t>Taxa de Encargos Gerais:</t>
  </si>
  <si>
    <t>Exact Sciences</t>
  </si>
  <si>
    <t>Natural Sciences</t>
  </si>
  <si>
    <t>Engineering and Technology</t>
  </si>
  <si>
    <t>Medical and Health Sciences</t>
  </si>
  <si>
    <t>Agricultural Sciences</t>
  </si>
  <si>
    <t>Social Sciences</t>
  </si>
  <si>
    <t>Humanities</t>
  </si>
  <si>
    <t>1.1.1.Scientific Domain</t>
  </si>
  <si>
    <t>Project title PT*</t>
  </si>
  <si>
    <t>Project title EN</t>
  </si>
  <si>
    <t>Project acronym*</t>
  </si>
  <si>
    <t>Consult the Application Guide (pag. 31)</t>
  </si>
  <si>
    <t>Start date*:</t>
  </si>
  <si>
    <t>Duration (months)*:</t>
  </si>
  <si>
    <t>1.General data</t>
  </si>
  <si>
    <t>1.1.Project description</t>
  </si>
  <si>
    <t>1.2.Main scientific area</t>
  </si>
  <si>
    <t>1.3.Timetable</t>
  </si>
  <si>
    <t>2.1.Principal contractor</t>
  </si>
  <si>
    <t>2.Institutions</t>
  </si>
  <si>
    <t>Principal contractor acronym*:</t>
  </si>
  <si>
    <t>Research unit*:</t>
  </si>
  <si>
    <t>Other Research unit</t>
  </si>
  <si>
    <t>Institution 1:</t>
  </si>
  <si>
    <t>Institution  2:</t>
  </si>
  <si>
    <t>Institution  3:</t>
  </si>
  <si>
    <t>Institution  4:</t>
  </si>
  <si>
    <t>Institution  5:</t>
  </si>
  <si>
    <t>Institution  6:</t>
  </si>
  <si>
    <t>Institution  8:</t>
  </si>
  <si>
    <t>Institution  9:</t>
  </si>
  <si>
    <t>Institution  10:</t>
  </si>
  <si>
    <t>Country:</t>
  </si>
  <si>
    <r>
      <t>PI</t>
    </r>
    <r>
      <rPr>
        <sz val="6"/>
        <color theme="1"/>
        <rFont val="Calibri"/>
        <family val="2"/>
        <scheme val="minor"/>
      </rPr>
      <t xml:space="preserve"> [TM 1]</t>
    </r>
  </si>
  <si>
    <t>TM 2</t>
  </si>
  <si>
    <t>TM 3</t>
  </si>
  <si>
    <t>TM 4</t>
  </si>
  <si>
    <t>TM 5</t>
  </si>
  <si>
    <t>TM 6</t>
  </si>
  <si>
    <t>TM 7</t>
  </si>
  <si>
    <t>TM 8</t>
  </si>
  <si>
    <t>TM 9</t>
  </si>
  <si>
    <t>TM 10</t>
  </si>
  <si>
    <t>TM 11</t>
  </si>
  <si>
    <t>TM 12</t>
  </si>
  <si>
    <t>TM 13</t>
  </si>
  <si>
    <t>TM 14</t>
  </si>
  <si>
    <t>TM 15</t>
  </si>
  <si>
    <t>TM 16</t>
  </si>
  <si>
    <t>TM 17</t>
  </si>
  <si>
    <t>TM 18</t>
  </si>
  <si>
    <t>TM 19</t>
  </si>
  <si>
    <t>TM 20</t>
  </si>
  <si>
    <t>TM 21</t>
  </si>
  <si>
    <t>TM 22</t>
  </si>
  <si>
    <t>TM 23</t>
  </si>
  <si>
    <t>Task denomination</t>
  </si>
  <si>
    <t>Name*</t>
  </si>
  <si>
    <t>Ciência ID*</t>
  </si>
  <si>
    <t>Institutions*</t>
  </si>
  <si>
    <t>% ded.*</t>
  </si>
  <si>
    <t>Duration*</t>
  </si>
  <si>
    <t>Overheads</t>
  </si>
  <si>
    <t>Purchase of goods and services</t>
  </si>
  <si>
    <t>Adaptation of buildings and facilities</t>
  </si>
  <si>
    <t>Demonstration, Promotion and Dissemination</t>
  </si>
  <si>
    <t>Patents registration</t>
  </si>
  <si>
    <t>Scientific and technical instruments and equipment</t>
  </si>
  <si>
    <t>Missions</t>
  </si>
  <si>
    <t>Human Resources</t>
  </si>
  <si>
    <t>Item</t>
  </si>
  <si>
    <t>ACRÓNIMO</t>
  </si>
  <si>
    <t>DESIGNAÇÃO</t>
  </si>
  <si>
    <t>Department:</t>
  </si>
  <si>
    <t>Department*:</t>
  </si>
  <si>
    <r>
      <t>1.5.Co-Principal investigator</t>
    </r>
    <r>
      <rPr>
        <sz val="8"/>
        <color theme="1"/>
        <rFont val="Calibri"/>
        <family val="2"/>
        <scheme val="minor"/>
      </rPr>
      <t xml:space="preserve"> (Co-PI)</t>
    </r>
  </si>
  <si>
    <r>
      <t>1.4.Principal investigator</t>
    </r>
    <r>
      <rPr>
        <sz val="8"/>
        <color theme="1"/>
        <rFont val="Calibri"/>
        <family val="2"/>
        <scheme val="minor"/>
      </rPr>
      <t xml:space="preserve"> (PI)</t>
    </r>
  </si>
  <si>
    <t>There is no Co-investigator figure, however, whenever the PI's employment relationship is not stable or with a National institution, we advise you to try to nominate someone who can replace the PI.</t>
  </si>
  <si>
    <t>BioISI | Instituto de Biossistemas e Ciências Integrativas</t>
  </si>
  <si>
    <t>cE3c | Centro de Ecologia, Evolução e Alterações Ambientais</t>
  </si>
  <si>
    <t>MARE | Centro de Ciências do Mar e do Ambiente</t>
  </si>
  <si>
    <t>Fields marked with * are mandatory.</t>
  </si>
  <si>
    <t>Information and alerts:</t>
  </si>
  <si>
    <t>DBA - Biologia Animal</t>
  </si>
  <si>
    <t>DBV - Biologia Vegetal</t>
  </si>
  <si>
    <t>DEGGE - Engenharia Geográfica, Geofísica e Energia</t>
  </si>
  <si>
    <t>DEIO - Estatística e Investigação Operacional</t>
  </si>
  <si>
    <t>DF - Física</t>
  </si>
  <si>
    <t>DG - Geologia</t>
  </si>
  <si>
    <t>DHFC - História e Filosofia das Ciências</t>
  </si>
  <si>
    <t>DI - Informática</t>
  </si>
  <si>
    <t>DM - Matemática</t>
  </si>
  <si>
    <t>DQB - Química e Bioquímica</t>
  </si>
  <si>
    <t>Ciências ULisboa</t>
  </si>
  <si>
    <t>Norma Transitória Ciências Ulisboa</t>
  </si>
  <si>
    <t>Indirect costs are a fixed rate of 25% of all the estimated direct eligible costs.</t>
  </si>
  <si>
    <t>The expenses for the adaptation of buildings and facilities are limited to a maximum of 10% of the project’s total eligible expenses.</t>
  </si>
  <si>
    <t>Fill in the secondary UI&amp;D acronym</t>
  </si>
  <si>
    <t>Alert: Required field</t>
  </si>
  <si>
    <t>The proposing institution is the beneficiary that leads the project and, in addition to coordinating the project, is responsible for liaising with the FCT on behalf of all the partners.</t>
  </si>
  <si>
    <t>Fill in the acronym of the main UI&amp;D (usually the one associated with the PI).</t>
  </si>
  <si>
    <t>Fill in the acronym of the desired UI&amp;D</t>
  </si>
  <si>
    <t>Alert: FCUL should not be indicated as a collaborating institution.</t>
  </si>
  <si>
    <t>Alert: Indicate the acronym of the institution.</t>
  </si>
  <si>
    <r>
      <t>Total</t>
    </r>
    <r>
      <rPr>
        <sz val="8"/>
        <color theme="1"/>
        <rFont val="Calibri"/>
        <family val="2"/>
        <scheme val="minor"/>
      </rPr>
      <t xml:space="preserve"> [1]</t>
    </r>
  </si>
  <si>
    <t>TASK LIST (fill in % of use per task)</t>
  </si>
  <si>
    <t>Eligible Imputed</t>
  </si>
  <si>
    <t>Eligible Not Imputed</t>
  </si>
  <si>
    <t>Considera a possibilidade de proggogação do projeto indicada na folha Info</t>
  </si>
  <si>
    <t>imputed months*</t>
  </si>
  <si>
    <t>EGIR máximo para o programa:</t>
  </si>
  <si>
    <t>EGIR Balance (PI General Charges):</t>
  </si>
  <si>
    <t>Justification:</t>
  </si>
  <si>
    <t>Contract 1</t>
  </si>
  <si>
    <t>Contract 2</t>
  </si>
  <si>
    <t>Contract 3</t>
  </si>
  <si>
    <t>Contract 4</t>
  </si>
  <si>
    <t>Contract 5</t>
  </si>
  <si>
    <t>Grant 1</t>
  </si>
  <si>
    <t>Grant 2</t>
  </si>
  <si>
    <t>Grant 3</t>
  </si>
  <si>
    <t>Grant 4</t>
  </si>
  <si>
    <t>Grant 5</t>
  </si>
  <si>
    <t>If attending a non-degree course, it will last a maximum of 12 months.</t>
  </si>
  <si>
    <t>Scholarship for a maximum of 12 months.</t>
  </si>
  <si>
    <t>See FCT scholarship regulations.</t>
  </si>
  <si>
    <t>Academic Degree</t>
  </si>
  <si>
    <r>
      <t>Type of grant</t>
    </r>
    <r>
      <rPr>
        <sz val="8"/>
        <color theme="1"/>
        <rFont val="Calibri"/>
        <family val="2"/>
        <scheme val="minor"/>
      </rPr>
      <t xml:space="preserve"> [1]</t>
    </r>
  </si>
  <si>
    <t>Members</t>
  </si>
  <si>
    <t>6.1 - Funding requested per task</t>
  </si>
  <si>
    <t>Institution  7:</t>
  </si>
  <si>
    <t>LIST OF UI&amp;Ds</t>
  </si>
  <si>
    <t>LIST OF INSTITUTIONS</t>
  </si>
  <si>
    <t>Scientific area:</t>
  </si>
  <si>
    <t>Scientific subarea:</t>
  </si>
  <si>
    <t>Name*:</t>
  </si>
  <si>
    <t>Name:</t>
  </si>
  <si>
    <t>Contracting Institution*:</t>
  </si>
  <si>
    <t>Contracting Institution:</t>
  </si>
  <si>
    <t>Telephone contact*:</t>
  </si>
  <si>
    <t>Telephone contact:</t>
  </si>
  <si>
    <t>Employment relationship*:</t>
  </si>
  <si>
    <t>Employment relationship:</t>
  </si>
  <si>
    <t>Departments</t>
  </si>
  <si>
    <t>Employment relationship</t>
  </si>
  <si>
    <t xml:space="preserve">No employment relationship / UI&amp;D Collaborator </t>
  </si>
  <si>
    <t xml:space="preserve">Retired / UI&amp;D Collaborator </t>
  </si>
  <si>
    <t xml:space="preserve">Project duration: </t>
  </si>
  <si>
    <t>Alerts</t>
  </si>
  <si>
    <t>Institution with which you are associated as part of the research project.</t>
  </si>
  <si>
    <t>Scientific domain*:</t>
  </si>
  <si>
    <r>
      <t xml:space="preserve">&gt;&gt; Preencher apenas células assinaladas a sombreado. Alguns campos estão associados a listas pré-definidas.
</t>
    </r>
    <r>
      <rPr>
        <i/>
        <sz val="11"/>
        <color theme="4" tint="-0.249977111117893"/>
        <rFont val="Calibri"/>
        <family val="2"/>
        <scheme val="minor"/>
      </rPr>
      <t>Fill in the shaded cells only. Some fields are linked to pre-defined lists.</t>
    </r>
    <r>
      <rPr>
        <sz val="11"/>
        <rFont val="Calibri"/>
        <family val="2"/>
        <scheme val="minor"/>
      </rPr>
      <t xml:space="preserve">
&gt;&gt; Células assinaladas com * são de preenchimento obrigatório.
</t>
    </r>
    <r>
      <rPr>
        <i/>
        <sz val="11"/>
        <color theme="4" tint="-0.249977111117893"/>
        <rFont val="Calibri"/>
        <family val="2"/>
        <scheme val="minor"/>
      </rPr>
      <t>Cells marked with * must be filled in.</t>
    </r>
  </si>
  <si>
    <r>
      <t xml:space="preserve">1. General data
</t>
    </r>
    <r>
      <rPr>
        <b/>
        <sz val="10"/>
        <color rgb="FF800000"/>
        <rFont val="Calibri"/>
        <family val="2"/>
        <scheme val="minor"/>
      </rPr>
      <t>(A preencher antes das restantes folhas de Excel)</t>
    </r>
    <r>
      <rPr>
        <b/>
        <i/>
        <u/>
        <sz val="11"/>
        <color theme="1"/>
        <rFont val="Calibri"/>
        <family val="2"/>
        <scheme val="minor"/>
      </rPr>
      <t xml:space="preserve">
</t>
    </r>
    <r>
      <rPr>
        <b/>
        <i/>
        <sz val="10"/>
        <color theme="4" tint="-0.249977111117893"/>
        <rFont val="Calibri"/>
        <family val="2"/>
      </rPr>
      <t>(To be filled in first)</t>
    </r>
  </si>
  <si>
    <t>1.1</t>
  </si>
  <si>
    <t>2.1</t>
  </si>
  <si>
    <t>6.Task-Budget</t>
  </si>
  <si>
    <t>7.Budget</t>
  </si>
  <si>
    <t>8.Timeline</t>
  </si>
  <si>
    <r>
      <t xml:space="preserve">&gt;&gt; Instituições Colaborativas não têm orçamento.
</t>
    </r>
    <r>
      <rPr>
        <i/>
        <sz val="11"/>
        <color theme="4" tint="-0.249977111117893"/>
        <rFont val="Calibri"/>
        <family val="2"/>
        <scheme val="minor"/>
      </rPr>
      <t>Collaborative institutions have no budget.</t>
    </r>
  </si>
  <si>
    <t>Amount of equipment charged in full in the first year of the project.</t>
  </si>
  <si>
    <r>
      <t xml:space="preserve">&gt;&gt; FCT disponibiliza modelo de cronograma no formulário de candidatura. A Folha 8.Timeline foi construída com base neste modelo e pretende fornecer um cronograna pré-preenchido com base na informações preenchidas nas Folhas anteriores.
</t>
    </r>
    <r>
      <rPr>
        <i/>
        <sz val="11"/>
        <color theme="4" tint="-0.249977111117893"/>
        <rFont val="Calibri"/>
        <family val="2"/>
        <scheme val="minor"/>
      </rPr>
      <t>FCT provides a timeline template in the application form. Sheet 8.Timeline was built on the basis of this template and is intended to provide a pre-filled timeline based on the information filled in on the previous sheets.</t>
    </r>
  </si>
  <si>
    <r>
      <t xml:space="preserve">A FCiências.ID, quando Instituição Proponente, apenas assinará a sua Declaração de Compromisso caso o IR declare que todas as Instituições Participantes e/ou de Colaboração foram devidamente informadas da sua participação nesta candidatura. Para tal, aquando do envio à FCiências.ID do Ficheiro de Apoio à Candidatura para validação do orçamento, deverá inserir no corpo do email o seguinte texto:
</t>
    </r>
    <r>
      <rPr>
        <b/>
        <i/>
        <sz val="11"/>
        <color theme="1"/>
        <rFont val="Calibri"/>
        <family val="2"/>
        <scheme val="minor"/>
      </rPr>
      <t>Na qualidade de IR da candidatura «referência da FCT», declaro que todos os responsáveis máximos das Instituições Participantes e/ou de Colaboração, ou alguém por eles delegados, se encontram devidamente informados da participação da respetiva instituição na presente candidatura.</t>
    </r>
  </si>
  <si>
    <t>FCiências.ID - Associação para a Investigação e Desenvolvimento em Ciências</t>
  </si>
  <si>
    <t>FCUL - Faculdade de Ciências da Universidade de Lisboa</t>
  </si>
  <si>
    <t>FCT</t>
  </si>
  <si>
    <t>FCT - Fundação para a Ciência e a Tecnologia</t>
  </si>
  <si>
    <t>CEAUL | Centro de Estatística e Aplicações da Faculdade de Ciências da Universidade de Lisboa</t>
  </si>
  <si>
    <t>CFTC | Centro de Física Teórica e Computacional da Universidade de Lisboa</t>
  </si>
  <si>
    <t>CIUHCT | Centro Interuniversitário de História das Ciências e da Tecnologia</t>
  </si>
  <si>
    <t>CQE | Centro de Química Estrutural</t>
  </si>
  <si>
    <t>IBEB | Instituto de Biofísica e Engenharia Biomédica</t>
  </si>
  <si>
    <t>IDL | Instituto Dom Luís</t>
  </si>
  <si>
    <t>CMAF-CIO</t>
  </si>
  <si>
    <t>IA | Centro de Matemática, Aplicações Fundamentais e Investigação Operacional</t>
  </si>
  <si>
    <t>LaSIGE | Computer Science and Engineering Research Centre</t>
  </si>
  <si>
    <t xml:space="preserve">With this start date, the maximum duration is </t>
  </si>
  <si>
    <t xml:space="preserve"> month(s)</t>
  </si>
  <si>
    <t>Maximum project duration</t>
  </si>
  <si>
    <t>Data alerts</t>
  </si>
  <si>
    <t>Notes / Alerts</t>
  </si>
  <si>
    <t>Maximum budget limit:</t>
  </si>
  <si>
    <t>Available direct expenditure budget:</t>
  </si>
  <si>
    <t>Quadro Nacional de Qualificações</t>
  </si>
  <si>
    <t>Níveis</t>
  </si>
  <si>
    <t>Qualificações</t>
  </si>
  <si>
    <t>Ensino secundário vocacionado para prosseguimento de estudos de nível superior</t>
  </si>
  <si>
    <t>Ensino secundário obtido por percursos de dupla certificação ou ensino secundário vocacionado para prosseguimento de estudos de nível superior</t>
  </si>
  <si>
    <t>Qualifcação de nível pós-secundário não superior para prosseguimento de estudos de nível superior</t>
  </si>
  <si>
    <t>Licenciatura</t>
  </si>
  <si>
    <t>Mestrado</t>
  </si>
  <si>
    <t>Doutoramento</t>
  </si>
  <si>
    <t>3.Tasks</t>
  </si>
  <si>
    <t>4. Team</t>
  </si>
  <si>
    <t xml:space="preserve">4.1 </t>
  </si>
  <si>
    <t xml:space="preserve">4.2 </t>
  </si>
  <si>
    <t>Sem Grau</t>
  </si>
  <si>
    <t>Licenciado</t>
  </si>
  <si>
    <t>Mestre</t>
  </si>
  <si>
    <t>Cod. IR</t>
  </si>
  <si>
    <t>Tipo de vínculo</t>
  </si>
  <si>
    <t>Employment Contract</t>
  </si>
  <si>
    <t>Research Grants</t>
  </si>
  <si>
    <t>Note: Within this call, proposals are presented as individual projects submitted by a single beneficiary.</t>
  </si>
  <si>
    <t>Note: Team members hired by collaborating institutions may have limited access to allowances through the proposing institution.</t>
  </si>
  <si>
    <t>Note: Collaborating institutions may have to sign an Acceptance Agreement, a collaboration protocol (at the start of the project) and/or a Statement of Responsibility (at the end of the project).</t>
  </si>
  <si>
    <r>
      <rPr>
        <sz val="11"/>
        <color theme="0"/>
        <rFont val="Calibri"/>
        <family val="2"/>
        <scheme val="minor"/>
      </rPr>
      <t>XX</t>
    </r>
    <r>
      <rPr>
        <sz val="11"/>
        <color theme="1"/>
        <rFont val="Calibri"/>
        <family val="2"/>
        <scheme val="minor"/>
      </rPr>
      <t>Notes:</t>
    </r>
  </si>
  <si>
    <r>
      <rPr>
        <sz val="11"/>
        <color theme="0"/>
        <rFont val="Calibri"/>
        <family val="2"/>
        <scheme val="minor"/>
      </rPr>
      <t>XX</t>
    </r>
    <r>
      <rPr>
        <sz val="11"/>
        <color theme="1"/>
        <rFont val="Calibri"/>
        <family val="2"/>
        <scheme val="minor"/>
      </rPr>
      <t>[1]</t>
    </r>
  </si>
  <si>
    <r>
      <t xml:space="preserve">&gt;&gt; Este ficheiro pretende ser uma ferramenta mais intuitiva e operacional, que uniformiza a informação e que julgamos ser facilitadora de todos os procedimentos de auxilio à formulação da candidatura, não dispensando a consulta e leitura atentas da documentação disponibilizada no site da FCT, indispensável e essencial à preparação da mesma:
</t>
    </r>
    <r>
      <rPr>
        <i/>
        <sz val="11"/>
        <color theme="4" tint="-0.249977111117893"/>
        <rFont val="Calibri"/>
        <family val="2"/>
        <scheme val="minor"/>
      </rPr>
      <t xml:space="preserve">This file is intended to be an intuitive and operational tool, containing relevant information for the preparation of the application, and does not dismiss </t>
    </r>
    <r>
      <rPr>
        <i/>
        <sz val="11"/>
        <color theme="4" tint="-0.249977111117893"/>
        <rFont val="Calibri"/>
        <family val="2"/>
      </rPr>
      <t>the reading of the information available on FCT's website:</t>
    </r>
  </si>
  <si>
    <r>
      <t xml:space="preserve">&gt;&gt; Aviso de Abertura de Concurso (AAC) // </t>
    </r>
    <r>
      <rPr>
        <sz val="11"/>
        <color theme="4" tint="-0.249977111117893"/>
        <rFont val="Calibri"/>
        <family val="2"/>
        <scheme val="minor"/>
      </rPr>
      <t>Announcement for Proposal Submissions</t>
    </r>
  </si>
  <si>
    <r>
      <t xml:space="preserve">&gt;&gt; Guião de Candidatura // </t>
    </r>
    <r>
      <rPr>
        <i/>
        <sz val="11"/>
        <color theme="4" tint="-0.249977111117893"/>
        <rFont val="Calibri"/>
        <family val="2"/>
        <scheme val="minor"/>
      </rPr>
      <t>Application Guide</t>
    </r>
  </si>
  <si>
    <r>
      <rPr>
        <sz val="11"/>
        <rFont val="Calibri"/>
        <family val="2"/>
        <scheme val="minor"/>
      </rPr>
      <t>Antes de contactar a FCiências.ID deverá analisar os documentos disponibilizados pela FCT e FCiências.ID.
A leitura dos documentos diponibilizados pela FCiências.ID não dispensa a consulta da informação disponibilizada pela FCT.</t>
    </r>
    <r>
      <rPr>
        <sz val="11"/>
        <color theme="10"/>
        <rFont val="Calibri"/>
        <family val="2"/>
        <scheme val="minor"/>
      </rPr>
      <t xml:space="preserve">
</t>
    </r>
    <r>
      <rPr>
        <i/>
        <sz val="11"/>
        <color theme="4" tint="-0.249977111117893"/>
        <rFont val="Calibri"/>
        <family val="2"/>
        <scheme val="minor"/>
      </rPr>
      <t>In addition to the documents provided by FCiências.ID, you should also consult the information made available by FCT.
Please read all documents thoroughly before contacting us.</t>
    </r>
    <r>
      <rPr>
        <sz val="11"/>
        <color theme="10"/>
        <rFont val="Calibri"/>
        <family val="2"/>
        <scheme val="minor"/>
      </rPr>
      <t xml:space="preserve">
</t>
    </r>
  </si>
  <si>
    <r>
      <t xml:space="preserve">&gt;&gt; A FFCUL encontra-se extinta pelo que não poderá ser indicada como instituição Proponente, Parceira ou Contratante.
</t>
    </r>
    <r>
      <rPr>
        <i/>
        <sz val="11"/>
        <color theme="4" tint="-0.249977111117893"/>
        <rFont val="Calibri"/>
        <family val="2"/>
        <scheme val="minor"/>
      </rPr>
      <t>FFCUL is an extinct institution so it cannot be considered for any application.</t>
    </r>
  </si>
  <si>
    <r>
      <t>&gt;&gt; Não são admitidas candidaturas que tenham sido selecionadas para financiamento pela FCT ou por outras agências de financiamento</t>
    </r>
    <r>
      <rPr>
        <i/>
        <sz val="11"/>
        <color theme="4" tint="-0.249977111117893"/>
        <rFont val="Calibri"/>
        <family val="2"/>
        <scheme val="minor"/>
      </rPr>
      <t xml:space="preserve"> / Applications that have been selected for funding by FCT or other funding agencies will not be accepted.</t>
    </r>
    <r>
      <rPr>
        <sz val="11"/>
        <rFont val="Calibri"/>
        <family val="2"/>
        <scheme val="minor"/>
      </rPr>
      <t xml:space="preserve">
&gt;&gt; Não são admitidas candidaturas múltiplas do mesmo projeto </t>
    </r>
    <r>
      <rPr>
        <i/>
        <sz val="11"/>
        <color theme="4" tint="-0.249977111117893"/>
        <rFont val="Calibri"/>
        <family val="2"/>
        <scheme val="minor"/>
      </rPr>
      <t>/ Multiple applications for the same project will not be accepted</t>
    </r>
    <r>
      <rPr>
        <sz val="11"/>
        <rFont val="Calibri"/>
        <family val="2"/>
        <scheme val="minor"/>
      </rPr>
      <t>:
− No presente concurso</t>
    </r>
    <r>
      <rPr>
        <i/>
        <sz val="11"/>
        <color theme="4" tint="-0.249977111117893"/>
        <rFont val="Calibri"/>
        <family val="2"/>
        <scheme val="minor"/>
      </rPr>
      <t xml:space="preserve"> / In this call</t>
    </r>
    <r>
      <rPr>
        <sz val="11"/>
        <rFont val="Calibri"/>
        <family val="2"/>
        <scheme val="minor"/>
      </rPr>
      <t>.
− Em concursos distintos em que haja sobreposição temporal nos períodos de receção das candidaturas</t>
    </r>
    <r>
      <rPr>
        <i/>
        <sz val="11"/>
        <color theme="4" tint="-0.249977111117893"/>
        <rFont val="Calibri"/>
        <family val="2"/>
        <scheme val="minor"/>
      </rPr>
      <t xml:space="preserve"> / In separate calls where there is a time overlap in the periods for receiving applications</t>
    </r>
    <r>
      <rPr>
        <sz val="11"/>
        <rFont val="Calibri"/>
        <family val="2"/>
        <scheme val="minor"/>
      </rPr>
      <t xml:space="preserve">.
− No caso de candidaturas a concursos de âmbitos temáticos diferentes e que decorram em períodos de receção de candidaturas distintos, a recomendação de financiamento numa delas é condição de exclusão do processo de decisão das restantes </t>
    </r>
    <r>
      <rPr>
        <sz val="11"/>
        <color theme="4" tint="-0.249977111117893"/>
        <rFont val="Calibri"/>
        <family val="2"/>
        <scheme val="minor"/>
      </rPr>
      <t>/ In the case of applications for tenders with different thematic areas and which take place during different application reception periods, the recommendation for funding in one of them is a condition for exclusion from the decision process for the others</t>
    </r>
    <r>
      <rPr>
        <sz val="11"/>
        <rFont val="Calibri"/>
        <family val="2"/>
        <scheme val="minor"/>
      </rPr>
      <t xml:space="preserve">.
&gt;&gt; Candidaturas relacionadas, da mesma equipa, submetidas à FCT ou a outras agências de financiamento deverão ser declaradas em sede de candidatura / </t>
    </r>
    <r>
      <rPr>
        <i/>
        <sz val="11"/>
        <color theme="4" tint="-0.249977111117893"/>
        <rFont val="Calibri"/>
        <family val="2"/>
        <scheme val="minor"/>
      </rPr>
      <t>Related applications from the same team submitted to FCT or other funding agencies must be declared in the application form</t>
    </r>
    <r>
      <rPr>
        <sz val="11"/>
        <rFont val="Calibri"/>
        <family val="2"/>
        <scheme val="minor"/>
      </rPr>
      <t>.</t>
    </r>
  </si>
  <si>
    <r>
      <t xml:space="preserve">&gt;&gt; Apresentadas listas pré-definidas usadas na folha 1. General data
</t>
    </r>
    <r>
      <rPr>
        <i/>
        <sz val="11"/>
        <color theme="4" tint="-0.249977111117893"/>
        <rFont val="Calibri"/>
        <family val="2"/>
        <scheme val="minor"/>
      </rPr>
      <t>Presents predefined lists used in sheet 1. General data</t>
    </r>
  </si>
  <si>
    <r>
      <t xml:space="preserve">&gt;&gt; Dados da Instituição proponente e Lista de Instituições Colaborativas
</t>
    </r>
    <r>
      <rPr>
        <i/>
        <sz val="11"/>
        <color theme="4" tint="-0.249977111117893"/>
        <rFont val="Calibri"/>
        <family val="2"/>
        <scheme val="minor"/>
      </rPr>
      <t xml:space="preserve">Details of the Principal Contractor and list of collaborative institutions
</t>
    </r>
    <r>
      <rPr>
        <i/>
        <sz val="11"/>
        <rFont val="Calibri"/>
        <family val="2"/>
        <scheme val="minor"/>
      </rPr>
      <t xml:space="preserve">&gt;&gt; No presente concurso apenas é atribuído orçamento à instituição proponente.
</t>
    </r>
    <r>
      <rPr>
        <i/>
        <sz val="11"/>
        <color theme="4" tint="-0.249977111117893"/>
        <rFont val="Calibri"/>
        <family val="2"/>
        <scheme val="minor"/>
      </rPr>
      <t>Only the applicant institution is allocated a budget in this call.</t>
    </r>
  </si>
  <si>
    <r>
      <t xml:space="preserve">&gt;&gt; Apresentadas listas pré-definidas usadas na folha 2.Institutions
</t>
    </r>
    <r>
      <rPr>
        <i/>
        <sz val="11"/>
        <color theme="4" tint="-0.249977111117893"/>
        <rFont val="Calibri"/>
        <family val="2"/>
        <scheme val="minor"/>
      </rPr>
      <t>Presents predefined lists used in sheet 2.Institutions</t>
    </r>
  </si>
  <si>
    <r>
      <t xml:space="preserve">&gt;&gt; Apresentadas listas pré-definidas usadas na folha 4.Team - Contratos de trabalho.
</t>
    </r>
    <r>
      <rPr>
        <i/>
        <sz val="11"/>
        <color theme="4" tint="-0.249977111117893"/>
        <rFont val="Calibri"/>
        <family val="2"/>
        <scheme val="minor"/>
      </rPr>
      <t>Presents predefined lists used in sheet 4.Team - Employment Contracts.</t>
    </r>
  </si>
  <si>
    <r>
      <t xml:space="preserve">&gt;&gt; Apresentadas listas pré-definidas usadas na folha 4.Team - Contratos de de bolsa.
</t>
    </r>
    <r>
      <rPr>
        <i/>
        <sz val="11"/>
        <color theme="4" tint="-0.249977111117893"/>
        <rFont val="Calibri"/>
        <family val="2"/>
        <scheme val="minor"/>
      </rPr>
      <t>Presents predefined lists used in sheet 4.Team - Research Grants.</t>
    </r>
  </si>
  <si>
    <t>5.Equipments</t>
  </si>
  <si>
    <r>
      <t xml:space="preserve">&gt;&gt; A FCiências.ID usa o método das Quotas Degressivas na amortização dos equipamentos.
</t>
    </r>
    <r>
      <rPr>
        <i/>
        <sz val="11"/>
        <color theme="4" tint="-0.249977111117893"/>
        <rFont val="Calibri"/>
        <family val="2"/>
        <scheme val="minor"/>
      </rPr>
      <t>FCiências.ID follows the method of degressive quotas in equipment amortization.</t>
    </r>
  </si>
  <si>
    <r>
      <t xml:space="preserve">&gt;&gt; Após indicar valor, período de amortização (em anos) e o mês em que pretende adquirir o equipamento (exemplo: 1 = 1º mês do projeto) o formulário indica o valor das amortizações elegíveis e não elegíveis.
</t>
    </r>
    <r>
      <rPr>
        <sz val="11"/>
        <color theme="4" tint="-0.249977111117893"/>
        <rFont val="Calibri"/>
        <family val="2"/>
        <scheme val="minor"/>
      </rPr>
      <t>After indicating the value, amortization period (in years) and the month of acquisition  (e.g.: 1 = 1st month of the project), the amount of eligible and non eligible amortizations will be displayed.</t>
    </r>
  </si>
  <si>
    <r>
      <t xml:space="preserve">&gt;&gt; Disponibilizada tabela com lista de equipamentos e respetivos períodos de amortização, bem como alguns instrumentos/componentes que, sendo adquiridos isoladamente, não são considerados equipamentos.
</t>
    </r>
    <r>
      <rPr>
        <i/>
        <sz val="11"/>
        <color theme="4" tint="-0.249977111117893"/>
        <rFont val="Calibri"/>
        <family val="2"/>
        <scheme val="minor"/>
      </rPr>
      <t>A table containing a list of equipments and corresponding periods of amortization is available, as well as some instruments/components which when acquired separately are not considered equipments.</t>
    </r>
  </si>
  <si>
    <r>
      <t xml:space="preserve">&gt;&gt; Os equipamentos deverão ser adquiridos no início do projeto.
</t>
    </r>
    <r>
      <rPr>
        <i/>
        <sz val="11"/>
        <color theme="4" tint="-0.249977111117893"/>
        <rFont val="Calibri"/>
        <family val="2"/>
        <scheme val="minor"/>
      </rPr>
      <t>The equipments should be acquired in the beginning of the project.</t>
    </r>
  </si>
  <si>
    <r>
      <t xml:space="preserve">&gt;&gt; Preencher valores das rubricas de despesa direta por tarefa.
</t>
    </r>
    <r>
      <rPr>
        <i/>
        <sz val="11"/>
        <color theme="4" tint="-0.249977111117893"/>
        <rFont val="Calibri"/>
        <family val="2"/>
        <scheme val="minor"/>
      </rPr>
      <t xml:space="preserve">Fill in the values of the direct expenditure headings by task.
</t>
    </r>
    <r>
      <rPr>
        <sz val="11"/>
        <rFont val="Calibri"/>
        <family val="2"/>
        <scheme val="minor"/>
      </rPr>
      <t xml:space="preserve">&gt;&gt; Fornece o valor de "Financiamento solicitado para a tarefa" da secção Tarefas do formulário de candidatura.
</t>
    </r>
    <r>
      <rPr>
        <i/>
        <sz val="11"/>
        <color theme="4" tint="-0.249977111117893"/>
        <rFont val="Calibri"/>
        <family val="2"/>
        <scheme val="minor"/>
      </rPr>
      <t xml:space="preserve">Provides the value of ‘Amount requested for the task’ from the Tasks section of the application form.
</t>
    </r>
    <r>
      <rPr>
        <sz val="11"/>
        <rFont val="Calibri"/>
        <family val="2"/>
        <scheme val="minor"/>
      </rPr>
      <t>&gt;&gt; Obrigatório preenchimento da Justificação global dos custos da tarefa.</t>
    </r>
    <r>
      <rPr>
        <i/>
        <sz val="11"/>
        <color theme="4" tint="-0.249977111117893"/>
        <rFont val="Calibri"/>
        <family val="2"/>
        <scheme val="minor"/>
      </rPr>
      <t xml:space="preserve">
It is mandatory to fill in the overall cost justification for the task.
</t>
    </r>
  </si>
  <si>
    <r>
      <t xml:space="preserve">&gt;&gt; </t>
    </r>
    <r>
      <rPr>
        <b/>
        <sz val="11"/>
        <rFont val="Calibri"/>
        <family val="2"/>
        <scheme val="minor"/>
      </rPr>
      <t>Recursos Humanos</t>
    </r>
    <r>
      <rPr>
        <sz val="11"/>
        <rFont val="Calibri"/>
        <family val="2"/>
        <scheme val="minor"/>
      </rPr>
      <t xml:space="preserve"> (RH) - preenchido automaticamente a partir dos dados preenchidos na folha 4.Team
</t>
    </r>
    <r>
      <rPr>
        <b/>
        <i/>
        <sz val="11"/>
        <color theme="4" tint="-0.249977111117893"/>
        <rFont val="Calibri"/>
        <family val="2"/>
        <scheme val="minor"/>
      </rPr>
      <t>Human Resources</t>
    </r>
    <r>
      <rPr>
        <i/>
        <sz val="11"/>
        <color theme="4" tint="-0.249977111117893"/>
        <rFont val="Calibri"/>
        <family val="2"/>
        <scheme val="minor"/>
      </rPr>
      <t xml:space="preserve"> (RH) - filled in automatically from the data filled in on sheet 4.Team</t>
    </r>
  </si>
  <si>
    <r>
      <t xml:space="preserve">&gt;&gt; </t>
    </r>
    <r>
      <rPr>
        <b/>
        <sz val="11"/>
        <rFont val="Calibri"/>
        <family val="2"/>
        <scheme val="minor"/>
      </rPr>
      <t>Instrumentos e equipamento científico e técnico / equipamentos</t>
    </r>
    <r>
      <rPr>
        <sz val="11"/>
        <rFont val="Calibri"/>
        <family val="2"/>
        <scheme val="minor"/>
      </rPr>
      <t xml:space="preserve"> (E) - preenchido automaticamente a partir dos dados preenchidos na folha 5.Equip.
</t>
    </r>
    <r>
      <rPr>
        <b/>
        <i/>
        <sz val="11"/>
        <color theme="4" tint="-0.249977111117893"/>
        <rFont val="Calibri"/>
        <family val="2"/>
        <scheme val="minor"/>
      </rPr>
      <t>Scientific and technical instruments and equipment</t>
    </r>
    <r>
      <rPr>
        <i/>
        <sz val="11"/>
        <color theme="4" tint="-0.249977111117893"/>
        <rFont val="Calibri"/>
        <family val="2"/>
        <scheme val="minor"/>
      </rPr>
      <t xml:space="preserve"> (E) - filled in automatically from the data filled in on sheet 5.Equip.</t>
    </r>
  </si>
  <si>
    <r>
      <t xml:space="preserve">&gt;&gt; </t>
    </r>
    <r>
      <rPr>
        <b/>
        <sz val="11"/>
        <rFont val="Calibri"/>
        <family val="2"/>
        <scheme val="minor"/>
      </rPr>
      <t>Adaptação  de  edifícios  e  instalações</t>
    </r>
    <r>
      <rPr>
        <sz val="11"/>
        <rFont val="Calibri"/>
        <family val="2"/>
        <scheme val="minor"/>
      </rPr>
      <t xml:space="preserve"> (AE) quando  imprescindíveis  à  realização  do  projeto nomeadamente por questões ambientais e de segurança, limitadas a um máximo de 10% das despesas elegíveis totais do projeto.
</t>
    </r>
    <r>
      <rPr>
        <b/>
        <i/>
        <sz val="11"/>
        <color theme="4" tint="-0.249977111117893"/>
        <rFont val="Calibri"/>
        <family val="2"/>
        <scheme val="minor"/>
      </rPr>
      <t>Adaptation of buildings and facilities</t>
    </r>
    <r>
      <rPr>
        <i/>
        <sz val="11"/>
        <color theme="4" tint="-0.249977111117893"/>
        <rFont val="Calibri"/>
        <family val="2"/>
        <scheme val="minor"/>
      </rPr>
      <t xml:space="preserve"> (AE) - Adaptation of buildings and facilities when indispensable to the project's execution for environmental and safety reasons, limited to a maximum of 10% of the project's total eligible expenses.</t>
    </r>
  </si>
  <si>
    <r>
      <t xml:space="preserve">&gt;&gt; Permite obter o orçamento por rubrica e ano civil.
</t>
    </r>
    <r>
      <rPr>
        <i/>
        <sz val="11"/>
        <color theme="4" tint="-0.249977111117893"/>
        <rFont val="Calibri"/>
        <family val="2"/>
        <scheme val="minor"/>
      </rPr>
      <t>Shows the budget by heading and calendar year.</t>
    </r>
  </si>
  <si>
    <t>&gt;&gt; Tabela de Custos Não elegíveis decorrentes dos contratos de trabalho (Tabela 4.2 da Folha 4) e amortizações que decorrem foram do período de elegibilidade do projeto (Folha 5.Equip.)
Table of non-eligible Costs arising from employment contracts (Table 4.2 on Sheet 4) and amortizations occurring outside the project's eligibility period (Sheet 5.Equip.)</t>
  </si>
  <si>
    <r>
      <t xml:space="preserve">&gt;&gt; Custos indiretos - Encargos Gerais calculados com base em custos simplificados, assentes na aplicação da taxa fixa de 25% dos custos elegíveis diretos, com exclusão da Subcontratação (cálculo automático).
</t>
    </r>
    <r>
      <rPr>
        <i/>
        <sz val="11"/>
        <color theme="4" tint="-0.249977111117893"/>
        <rFont val="Calibri"/>
        <family val="2"/>
        <scheme val="minor"/>
      </rPr>
      <t xml:space="preserve">Indirect Costs - Overheads (OH) based on simplified costs, with a fixed rate of 25% of the Eligible direct costs, except subcontracts (autofill). </t>
    </r>
  </si>
  <si>
    <r>
      <t xml:space="preserve">&gt;&gt; A FCiências.ID disponibiliza 5% de Encargos Gerais para suporte de encargos não elegíveis do projeto, tais como, encargos não elegíveis associados aos contratos de trabalho e amortizações de equipamentos não suportadas pelo projeto.
</t>
    </r>
    <r>
      <rPr>
        <i/>
        <sz val="11"/>
        <color theme="4" tint="-0.249977111117893"/>
        <rFont val="Calibri"/>
        <family val="2"/>
        <scheme val="minor"/>
      </rPr>
      <t xml:space="preserve">FCiências.ID provides 5% of the Overheads to support non eligible costs of the project, such as those costs associated with employment contracts and amortizations not supported by the project. </t>
    </r>
  </si>
  <si>
    <r>
      <t xml:space="preserve">É da responsabilidade do IR, Co-IR e restantes membros da equipa informarem as respetivas instituições de que fazem parte deste consórcio.
</t>
    </r>
    <r>
      <rPr>
        <i/>
        <sz val="11"/>
        <color theme="4" tint="-0.249977111117893"/>
        <rFont val="Calibri"/>
        <family val="2"/>
        <scheme val="minor"/>
      </rPr>
      <t>It is the sole responsibility of the PI, Co-PI and other team members to inform their institutions that they are part of this consortium.</t>
    </r>
  </si>
  <si>
    <r>
      <t xml:space="preserve">INFORMATIVO PARA PROJETOS EM CONSÓRCIO 
</t>
    </r>
    <r>
      <rPr>
        <sz val="11"/>
        <color theme="1"/>
        <rFont val="Calibri"/>
        <family val="2"/>
        <scheme val="minor"/>
      </rPr>
      <t>/</t>
    </r>
    <r>
      <rPr>
        <b/>
        <u/>
        <sz val="11"/>
        <color theme="1"/>
        <rFont val="Calibri"/>
        <family val="2"/>
        <scheme val="minor"/>
      </rPr>
      <t xml:space="preserve">
</t>
    </r>
    <r>
      <rPr>
        <b/>
        <u/>
        <sz val="11"/>
        <color theme="4" tint="-0.249977111117893"/>
        <rFont val="Calibri"/>
        <family val="2"/>
        <scheme val="minor"/>
      </rPr>
      <t>NOTICE FOR CONSORTIUM PROJECTS</t>
    </r>
  </si>
  <si>
    <r>
      <t xml:space="preserve">When acting as a Principal Contractor, FCiências.ID will only sign its Declaration of Commitment if the PI declares that all Participating and/or Collaborative Institutions have been duly informed of their participation in this application. In order to do so, when sending the Application Support File to FCiências.ID for budget validation you must insert the following text in the body of the email:
</t>
    </r>
    <r>
      <rPr>
        <b/>
        <i/>
        <sz val="11"/>
        <color theme="4" tint="-0.249977111117893"/>
        <rFont val="Calibri"/>
        <family val="2"/>
        <scheme val="minor"/>
      </rPr>
      <t>As the PI of the application «FCT reference», I declare that all the top managers of the Participating and/or Collaborative Institutions, or someone delegated by them, have been duly informed of the participation of their institution in this application.</t>
    </r>
  </si>
  <si>
    <t>FCGulbenkian</t>
  </si>
  <si>
    <t>3.1 - TASKS</t>
  </si>
  <si>
    <t>Task denomination*</t>
  </si>
  <si>
    <t>Task 1</t>
  </si>
  <si>
    <t>Task 2</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</si>
  <si>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</si>
  <si>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</si>
  <si>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</si>
  <si>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</si>
  <si>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</si>
  <si>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</si>
  <si>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</si>
  <si>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</si>
  <si>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</si>
  <si>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</si>
  <si>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</si>
  <si>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</si>
  <si>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</si>
  <si>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</si>
  <si>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</si>
  <si>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</si>
  <si>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</si>
  <si>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</si>
  <si>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 xml:space="preserve">Cost Estimate	</t>
  </si>
  <si>
    <t xml:space="preserve">Eligible	</t>
  </si>
  <si>
    <t xml:space="preserve">Non-eligible	</t>
  </si>
  <si>
    <t>Control</t>
  </si>
  <si>
    <t>Non-eligible</t>
  </si>
  <si>
    <t>Task TOTAL</t>
  </si>
  <si>
    <t>5.2. TABLE OF EQUIPMENTS AND AMORTIZATION PERIOD</t>
  </si>
  <si>
    <t>Data de inicio do projeto (data 1):</t>
  </si>
  <si>
    <t>Data de inicio do projeto (data 2):</t>
  </si>
  <si>
    <t>Start month*</t>
  </si>
  <si>
    <r>
      <rPr>
        <i/>
        <sz val="11"/>
        <color theme="4" tint="-0.249977111117893"/>
        <rFont val="Calibri"/>
        <family val="2"/>
        <scheme val="minor"/>
      </rPr>
      <t>FCiências.ID is a highly experienced Non-Profit Private Association, initiative of the Higher Education institution CIÊNCIAS and 6 private companies, working in supporting and potentiating Research and Development activities of its associates. It legally represents 12 CIÊNCIAS’s research centers, covering all fields of Sciences. CIÊNCIAS hosts these centers, providing the scientific framework and logistic support to research activities.</t>
    </r>
    <r>
      <rPr>
        <sz val="11"/>
        <color theme="1"/>
        <rFont val="Calibri"/>
        <family val="2"/>
        <scheme val="minor"/>
      </rPr>
      <t xml:space="preserve">
</t>
    </r>
    <r>
      <rPr>
        <sz val="11"/>
        <color rgb="FFFF0000"/>
        <rFont val="Calibri"/>
        <family val="2"/>
        <scheme val="minor"/>
      </rPr>
      <t xml:space="preserve">
[Insert description of R&amp;D units - text provided by R&amp;D units (we suggest 500 characters, including spaces]
[Insert free text to be filled in by the Principal Investigator with "skills and contributions to the development of the project"]</t>
    </r>
  </si>
  <si>
    <t>FILL IN BY FCIENCES.ID</t>
  </si>
  <si>
    <t>VALORES E BOLSAS*</t>
  </si>
  <si>
    <t>* Estimativas de valores</t>
  </si>
  <si>
    <t>Note: Collaborative Institutions are not funded.</t>
  </si>
  <si>
    <t>4.1 - Research Team (Principal investigator and Other Team Members)</t>
  </si>
  <si>
    <t>Research Team hiring</t>
  </si>
  <si>
    <t>4.2 - FCiências.ID Employment Contracts</t>
  </si>
  <si>
    <t>4.3 - FCiências.ID Research Grants</t>
  </si>
  <si>
    <t>P*M</t>
  </si>
  <si>
    <t>BII - 651,12€/Mês</t>
  </si>
  <si>
    <t>BI - 1040,98€/Mês</t>
  </si>
  <si>
    <t>BI - 1309,64€/Mês</t>
  </si>
  <si>
    <t>BIPD - 1851€/Mês</t>
  </si>
  <si>
    <r>
      <t xml:space="preserve">&gt;&gt; Preencher a lista de tarefas do projeto. Dados a inserir </t>
    </r>
    <r>
      <rPr>
        <i/>
        <sz val="11"/>
        <color theme="4" tint="-0.249977111117893"/>
        <rFont val="Calibri"/>
        <family val="2"/>
        <scheme val="minor"/>
      </rPr>
      <t>/ Fill in the project`s task list. Data to enter</t>
    </r>
    <r>
      <rPr>
        <sz val="11"/>
        <rFont val="Calibri"/>
        <family val="2"/>
        <scheme val="minor"/>
      </rPr>
      <t>: 
    &gt; Designação da tarefa</t>
    </r>
    <r>
      <rPr>
        <sz val="11"/>
        <color theme="4" tint="-0.249977111117893"/>
        <rFont val="Calibri"/>
        <family val="2"/>
        <scheme val="minor"/>
      </rPr>
      <t xml:space="preserve"> / Task denomination</t>
    </r>
    <r>
      <rPr>
        <sz val="11"/>
        <rFont val="Calibri"/>
        <family val="2"/>
        <scheme val="minor"/>
      </rPr>
      <t xml:space="preserve">
    &gt; Data de ínicio</t>
    </r>
    <r>
      <rPr>
        <i/>
        <sz val="11"/>
        <color theme="4" tint="-0.249977111117893"/>
        <rFont val="Calibri"/>
        <family val="2"/>
        <scheme val="minor"/>
      </rPr>
      <t xml:space="preserve"> / Start date</t>
    </r>
    <r>
      <rPr>
        <sz val="11"/>
        <rFont val="Calibri"/>
        <family val="2"/>
        <scheme val="minor"/>
      </rPr>
      <t xml:space="preserve">
    &gt; Duração em meses </t>
    </r>
    <r>
      <rPr>
        <i/>
        <sz val="11"/>
        <color theme="4" tint="-0.249977111117893"/>
        <rFont val="Calibri"/>
        <family val="2"/>
        <scheme val="minor"/>
      </rPr>
      <t>/ Duration in months</t>
    </r>
    <r>
      <rPr>
        <sz val="11"/>
        <rFont val="Calibri"/>
        <family val="2"/>
        <scheme val="minor"/>
      </rPr>
      <t xml:space="preserve">
É apresentada uma estimativa de Pessoa*mês máximo que cada membro da equipa pode dedicar a cada tarefa</t>
    </r>
    <r>
      <rPr>
        <i/>
        <sz val="11"/>
        <color theme="4" tint="-0.249977111117893"/>
        <rFont val="Calibri"/>
        <family val="2"/>
        <scheme val="minor"/>
      </rPr>
      <t xml:space="preserve"> / An estimate of the maximum number of Person*month that each team member can dedicate to each task is displayed.</t>
    </r>
  </si>
  <si>
    <r>
      <t xml:space="preserve">&gt;&gt; Distribuir por tarefas; isto permitirá calcular valor de Equipamentos por tarefa (folha 6. Task-Budget) </t>
    </r>
    <r>
      <rPr>
        <i/>
        <sz val="11"/>
        <color theme="4" tint="-0.249977111117893"/>
        <rFont val="Calibri"/>
        <family val="2"/>
        <scheme val="minor"/>
      </rPr>
      <t>/ Distribute by task; this will allow you to calculate Equipment value by task (sheet 6. Task-Budget).</t>
    </r>
  </si>
  <si>
    <r>
      <t xml:space="preserve">4.1 - Equipa de Investigação (Investigador Principal e outros Membros da Equipa ) / </t>
    </r>
    <r>
      <rPr>
        <i/>
        <sz val="11"/>
        <color theme="4" tint="-0.249977111117893"/>
        <rFont val="Calibri"/>
        <family val="2"/>
        <scheme val="minor"/>
      </rPr>
      <t>Research team (Principal investigator and Other Team Members)</t>
    </r>
    <r>
      <rPr>
        <sz val="11"/>
        <rFont val="Calibri"/>
        <family val="2"/>
        <scheme val="minor"/>
      </rPr>
      <t xml:space="preserve">
Após preenchimento dos dados solicitados é apresentada uma estimativa de Pessoa*mês que o membro vai dedicar à equipa. Necessário distribuir as Pessoa*mês pelas várias tarefas do projeto / </t>
    </r>
    <r>
      <rPr>
        <i/>
        <sz val="11"/>
        <color theme="4" tint="-0.249977111117893"/>
        <rFont val="Calibri"/>
        <family val="2"/>
        <scheme val="minor"/>
      </rPr>
      <t>After filling in the requested data, an estimate of the Person*month that the member will dedicate to the team is presented. The Person*month need to be distributed among the project's various tasks.</t>
    </r>
    <r>
      <rPr>
        <sz val="11"/>
        <rFont val="Calibri"/>
        <family val="2"/>
        <scheme val="minor"/>
      </rPr>
      <t xml:space="preserve">
4.2 - Contratos de Trabalho / </t>
    </r>
    <r>
      <rPr>
        <i/>
        <sz val="11"/>
        <color theme="4" tint="-0.249977111117893"/>
        <rFont val="Calibri"/>
        <family val="2"/>
        <scheme val="minor"/>
      </rPr>
      <t>Employment Contracts</t>
    </r>
    <r>
      <rPr>
        <sz val="11"/>
        <rFont val="Calibri"/>
        <family val="2"/>
        <scheme val="minor"/>
      </rPr>
      <t xml:space="preserve">
Para indicar contratos de trabalho pretendidos / </t>
    </r>
    <r>
      <rPr>
        <i/>
        <sz val="11"/>
        <color theme="4" tint="-0.249977111117893"/>
        <rFont val="Calibri"/>
        <family val="2"/>
        <scheme val="minor"/>
      </rPr>
      <t>To indicate desired employment contracts.</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 </t>
    </r>
    <r>
      <rPr>
        <i/>
        <sz val="11"/>
        <color theme="4" tint="-0.249977111117893"/>
        <rFont val="Calibri"/>
        <family val="2"/>
        <scheme val="minor"/>
      </rPr>
      <t xml:space="preserve">Distribute Person*month by task; this will allow you to calculate RH value by task (sheet 6. Task-Budget). </t>
    </r>
    <r>
      <rPr>
        <sz val="11"/>
        <rFont val="Calibri"/>
        <family val="2"/>
        <scheme val="minor"/>
      </rPr>
      <t xml:space="preserve">
Neste concurso não é obrigatório a celebração de contratos de trabalho /</t>
    </r>
    <r>
      <rPr>
        <i/>
        <sz val="11"/>
        <color theme="4" tint="-0.249977111117893"/>
        <rFont val="Calibri"/>
        <family val="2"/>
        <scheme val="minor"/>
      </rPr>
      <t xml:space="preserve"> In this call the celebration of employment contracts with PhD-holder Researchers is not mandatory.</t>
    </r>
    <r>
      <rPr>
        <sz val="11"/>
        <rFont val="Calibri"/>
        <family val="2"/>
        <scheme val="minor"/>
      </rPr>
      <t xml:space="preserve">
4.3 - Bolsas de Investigação /</t>
    </r>
    <r>
      <rPr>
        <i/>
        <sz val="11"/>
        <color theme="4" tint="-0.249977111117893"/>
        <rFont val="Calibri"/>
        <family val="2"/>
        <scheme val="minor"/>
      </rPr>
      <t xml:space="preserve"> Research Grants</t>
    </r>
    <r>
      <rPr>
        <sz val="11"/>
        <rFont val="Calibri"/>
        <family val="2"/>
        <scheme val="minor"/>
      </rPr>
      <t xml:space="preserve">
Para preenchimento dos contratos de bolsa a celebrar através da FCiências.ID na folha 4.Equipa - Tabela 4.2. Os valores apresentados são indicativos e não vinculativos. / </t>
    </r>
    <r>
      <rPr>
        <i/>
        <sz val="11"/>
        <color theme="4" tint="-0.249977111117893"/>
        <rFont val="Calibri"/>
        <family val="2"/>
        <scheme val="minor"/>
      </rPr>
      <t>To fill in the Research Grants through FCiências.ID. The values presented are merely indicative and not binding.</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t>
    </r>
    <r>
      <rPr>
        <i/>
        <sz val="11"/>
        <color theme="4" tint="-0.249977111117893"/>
        <rFont val="Calibri"/>
        <family val="2"/>
        <scheme val="minor"/>
      </rPr>
      <t xml:space="preserve"> Distribute Person*month by task; this will allow you to calculate RH costs by task (sheet 6. Task-Budget). </t>
    </r>
  </si>
  <si>
    <t>Alert: Person*month sum differs from the value indicated in column I</t>
  </si>
  <si>
    <r>
      <t>TASK LIST</t>
    </r>
    <r>
      <rPr>
        <sz val="10"/>
        <color theme="1"/>
        <rFont val="Calibri"/>
        <family val="2"/>
        <scheme val="minor"/>
      </rPr>
      <t xml:space="preserve"> [Distribute Person*month from column I to the various tasks]</t>
    </r>
  </si>
  <si>
    <t xml:space="preserve">Project reference* </t>
  </si>
  <si>
    <t>Maximum requested funding:</t>
  </si>
  <si>
    <t>BUDGET CONTROL TABLE</t>
  </si>
  <si>
    <t>Expense Category*</t>
  </si>
  <si>
    <t>Value</t>
  </si>
  <si>
    <t>Description</t>
  </si>
  <si>
    <t>Expense Category</t>
  </si>
  <si>
    <t>Tabela de Erros</t>
  </si>
  <si>
    <t>Valor Máximo do programa:</t>
  </si>
  <si>
    <t xml:space="preserve">Valor Máximo de AE: </t>
  </si>
  <si>
    <t>ERROR! Exceeds 10% of budget</t>
  </si>
  <si>
    <t>FCID</t>
  </si>
  <si>
    <t>T</t>
  </si>
  <si>
    <t>OH</t>
  </si>
  <si>
    <t>ERRO! Excede 10% do orçamento</t>
  </si>
  <si>
    <t>Direct Expense available:</t>
  </si>
  <si>
    <t>Note: impute in DPD charging costs for presenting papers at conferences</t>
  </si>
  <si>
    <t>Note: Impute in AQ? SC needs validation from FCiência.ID</t>
  </si>
  <si>
    <t>Note: Limited to a maximum of 10% of the total eligible project expenses</t>
  </si>
  <si>
    <t>Note: Use only to record the costs of human resources with permanent contracts; indicates the name of the team member</t>
  </si>
  <si>
    <t>EGIR: Estimated value:</t>
  </si>
  <si>
    <t>Balance:</t>
  </si>
  <si>
    <t>EGIR: Estimated costs:</t>
  </si>
  <si>
    <t>Duração máxima:</t>
  </si>
  <si>
    <t>CEMS.UL</t>
  </si>
  <si>
    <t>CEMS.UL | Center for Mathematical Studies at Ciências Ulisboa</t>
  </si>
  <si>
    <t xml:space="preserve">DBA </t>
  </si>
  <si>
    <t>DBV</t>
  </si>
  <si>
    <t>DEGGE</t>
  </si>
  <si>
    <t>DEIO</t>
  </si>
  <si>
    <t>DF</t>
  </si>
  <si>
    <t>DG</t>
  </si>
  <si>
    <t>DHFC</t>
  </si>
  <si>
    <t>DI</t>
  </si>
  <si>
    <t>DM</t>
  </si>
  <si>
    <t>DQB</t>
  </si>
  <si>
    <t>Não aplicável</t>
  </si>
  <si>
    <t>Departamentos</t>
  </si>
  <si>
    <t>The maximum duration of the projects is 36 months.</t>
  </si>
  <si>
    <t>Institution description and its competencies for the development of the project:</t>
  </si>
  <si>
    <t xml:space="preserve">Participante (P) </t>
  </si>
  <si>
    <t>Duração Máxima Contrato</t>
  </si>
  <si>
    <t>Total PMs</t>
  </si>
  <si>
    <r>
      <t>2.2.Participating institutions and Collaborative Institutions</t>
    </r>
    <r>
      <rPr>
        <sz val="8"/>
        <color theme="1"/>
        <rFont val="Calibri"/>
        <family val="2"/>
        <scheme val="minor"/>
      </rPr>
      <t xml:space="preserve"> [Collaborative Institutions are not funded]</t>
    </r>
  </si>
  <si>
    <t>TOTAL BUDGET:</t>
  </si>
  <si>
    <t>AVAILABLE BUDGET:</t>
  </si>
  <si>
    <t>TASK CONTROL</t>
  </si>
  <si>
    <t>Mímina</t>
  </si>
  <si>
    <t>Máxima</t>
  </si>
  <si>
    <t>DURAÇÃO DA BOLSA (meses)</t>
  </si>
  <si>
    <t>Another national organization</t>
  </si>
  <si>
    <t>foreign entity</t>
  </si>
  <si>
    <t>CEEC Ind</t>
  </si>
  <si>
    <t>CEEC Institucional</t>
  </si>
  <si>
    <t>FCT Tenure</t>
  </si>
  <si>
    <t>Permanent Contract</t>
  </si>
  <si>
    <t>Non Permanent Contract</t>
  </si>
  <si>
    <t>Another National Organization</t>
  </si>
  <si>
    <t>Acrónimo Departamento</t>
  </si>
  <si>
    <t>x</t>
  </si>
  <si>
    <t>5.1. List of Equipments to be acquired by FCiências.ID</t>
  </si>
  <si>
    <t>6.1 - Other Direct Expense categories (DD) and Human Resources (RH) costs associated with the team members indicated on sheet 2 and not provided on sheets 3 and 4</t>
  </si>
  <si>
    <t>6.3 - BUDGET BY EXPENSE CATEGORY AND INSTITUTION</t>
  </si>
  <si>
    <t>AVAILABLE DD BUDGET:</t>
  </si>
  <si>
    <t>6.2 - BUDGET BY TASK AND INSTITUTION:</t>
  </si>
  <si>
    <t>6.3 - BUDGET BY EXPENSE CATEGORY AND INSTITUTION:</t>
  </si>
  <si>
    <t>DIFFERENCE:</t>
  </si>
  <si>
    <t>EGIR*: Estimated value:</t>
  </si>
  <si>
    <t>*Only for the FCiências.ID budget</t>
  </si>
  <si>
    <t>Alert: Failing to complete some expense category or institutions on some expenses</t>
  </si>
  <si>
    <t>Alert: Failing to complete some tasks or institutions on some expenses</t>
  </si>
  <si>
    <t>Alert: It exceeded the maximum budget allowed for this call</t>
  </si>
  <si>
    <t>Alert: It exceeded the maximum of non-eligible costs allowed for this budget</t>
  </si>
  <si>
    <t>Task Code</t>
  </si>
  <si>
    <r>
      <t>6.2 - BUDGET BY TASK AND INSTITUTION</t>
    </r>
    <r>
      <rPr>
        <sz val="11"/>
        <color theme="5" tint="-0.249977111117893"/>
        <rFont val="Calibri"/>
        <family val="2"/>
        <scheme val="minor"/>
      </rPr>
      <t xml:space="preserve"> [Includes overheads]</t>
    </r>
  </si>
  <si>
    <t>Estimated cost per year</t>
  </si>
  <si>
    <t>Fciências.ID:</t>
  </si>
  <si>
    <t>CONCURSO:</t>
  </si>
  <si>
    <t>DB</t>
  </si>
  <si>
    <t>DCTE</t>
  </si>
  <si>
    <t>DCM</t>
  </si>
  <si>
    <t xml:space="preserve">DHFC </t>
  </si>
  <si>
    <t>DB - Departamento de Biologia</t>
  </si>
  <si>
    <t>DCTE - Departamento de Ciências da Terra e Energia</t>
  </si>
  <si>
    <t>DCM - Departamento de Ciências Matemáticas</t>
  </si>
  <si>
    <t>Unidade Associada</t>
  </si>
  <si>
    <t>CE3C</t>
  </si>
  <si>
    <t xml:space="preserve">CEAUL </t>
  </si>
  <si>
    <t>CEMS</t>
  </si>
  <si>
    <t xml:space="preserve">CIUHCT </t>
  </si>
  <si>
    <t xml:space="preserve">CQE </t>
  </si>
  <si>
    <t xml:space="preserve">IDL </t>
  </si>
  <si>
    <t>LASIGE</t>
  </si>
  <si>
    <t xml:space="preserve">BioISI - Biosystems &amp; Integrative Sciences Institute </t>
  </si>
  <si>
    <t>CE3C - Centre for Ecology, Evolution and Environmental Changes</t>
  </si>
  <si>
    <t>CEAUL - Centro de Estatística e Aplicações da Faculdade de Ciências da Universidade de Lisboa</t>
  </si>
  <si>
    <t>CEMS.UL - Center for Mathematical Studies at Ciências Ulisboa</t>
  </si>
  <si>
    <t xml:space="preserve">CFTC - Centro de Física Teórica e Computacional da Universidade de Lisboa </t>
  </si>
  <si>
    <t>CIUHCT - Centro Interuniversitário de História das Ciências e da Tecnologia</t>
  </si>
  <si>
    <t xml:space="preserve">CQE - Centro de Química Estrutural </t>
  </si>
  <si>
    <t xml:space="preserve">IA - Institute of Astrophysics and Space Sciences </t>
  </si>
  <si>
    <t>IBEB - Instituto de Biofísica e Engenharia Biomédica</t>
  </si>
  <si>
    <t>IDL - Instituto Dom Luís</t>
  </si>
  <si>
    <t>LASIGE - Laboratório de Sistemas Informáticos de Grande Escala</t>
  </si>
  <si>
    <t xml:space="preserve">MARE - Centro de Ciências do Mar e do Ambiente </t>
  </si>
  <si>
    <t>Unidade Associada2</t>
  </si>
  <si>
    <t>Projeto de Investigação Nacional - Não FCT</t>
  </si>
  <si>
    <t>Is FCiências.ID the leader of the consortium?</t>
  </si>
  <si>
    <r>
      <t xml:space="preserve">Possibilidade de prorrogação do projeto </t>
    </r>
    <r>
      <rPr>
        <sz val="8"/>
        <color theme="1"/>
        <rFont val="Calibri"/>
        <family val="2"/>
        <scheme val="minor"/>
      </rPr>
      <t>[Meses]:</t>
    </r>
  </si>
  <si>
    <t>7.4.0.0.0 - Cooperação Transnacional</t>
  </si>
  <si>
    <t>VB TOTAL</t>
  </si>
  <si>
    <t>VB MENSAL</t>
  </si>
  <si>
    <t>e.g. 2025.0001.PTDC</t>
  </si>
  <si>
    <t>Tarefa</t>
  </si>
  <si>
    <t>Rubrica</t>
  </si>
  <si>
    <t>Folha</t>
  </si>
  <si>
    <t>Meses</t>
  </si>
  <si>
    <t>Nº DE MESES POR ANO</t>
  </si>
  <si>
    <t>Total €</t>
  </si>
  <si>
    <t>Total Meses</t>
  </si>
  <si>
    <t>controlo</t>
  </si>
  <si>
    <t>INSTITUTION:</t>
  </si>
  <si>
    <t>TASK:</t>
  </si>
  <si>
    <t>7.1 - Distribution of the budget by task, institution, Item and calendar year.</t>
  </si>
  <si>
    <t>Códigos</t>
  </si>
  <si>
    <t>7.2 - Distribution of the budget by institution and Item.</t>
  </si>
  <si>
    <t>Overheads (%):</t>
  </si>
  <si>
    <t>7.3 - BUDGET BY TASK AND INSTITUTION [Includes overheads]</t>
  </si>
  <si>
    <t>Task</t>
  </si>
  <si>
    <t>TO OBTAIN VALUES TO ENTER IN MYFCT, CHANGE THE INSTITUTION AND TASK!</t>
  </si>
  <si>
    <r>
      <rPr>
        <b/>
        <sz val="11"/>
        <color rgb="FFC00000"/>
        <rFont val="Calibri"/>
        <family val="2"/>
        <scheme val="minor"/>
      </rPr>
      <t xml:space="preserve">MAXIMUM VALUE FOR </t>
    </r>
    <r>
      <rPr>
        <b/>
        <sz val="11"/>
        <color theme="1"/>
        <rFont val="Calibri"/>
        <family val="2"/>
        <scheme val="minor"/>
      </rPr>
      <t>Adaptation of buildings and facilities:</t>
    </r>
  </si>
  <si>
    <t>Alert: The expenses for the adaptation of buildings and facilities are limited to a maximum of 10% of the project’s total eligible expenses.</t>
  </si>
  <si>
    <t>Total direct expenses indicated on table 7.3:</t>
  </si>
  <si>
    <t>YES</t>
  </si>
  <si>
    <t>Giim</t>
  </si>
  <si>
    <t>GIMM – Gulbenkian Institute for Molecular Medicine</t>
  </si>
  <si>
    <t>Cofac-Cooperativa de Formação e Animação Cultural, Crl.</t>
  </si>
  <si>
    <t>Cofac</t>
  </si>
  <si>
    <t>Task maximum duration</t>
  </si>
  <si>
    <r>
      <t xml:space="preserve">&gt;&gt; Antes de proceder à submissão da sua candidatura (enquanto Proponente ou Parceiro) terá de preencher este ficheiro e enviá-lo para </t>
    </r>
    <r>
      <rPr>
        <b/>
        <sz val="11"/>
        <rFont val="Calibri"/>
        <family val="2"/>
        <scheme val="minor"/>
      </rPr>
      <t>nacionaisID@fciencias-id.pt</t>
    </r>
    <r>
      <rPr>
        <sz val="11"/>
        <rFont val="Calibri"/>
        <family val="2"/>
        <scheme val="minor"/>
      </rPr>
      <t xml:space="preserve"> para validação do orçamento // </t>
    </r>
    <r>
      <rPr>
        <i/>
        <sz val="11"/>
        <color theme="4" tint="-0.249977111117893"/>
        <rFont val="Calibri"/>
        <family val="2"/>
        <scheme val="minor"/>
      </rPr>
      <t>Before submitting</t>
    </r>
    <r>
      <rPr>
        <i/>
        <sz val="11"/>
        <color theme="4" tint="-0.249977111117893"/>
        <rFont val="Calibri"/>
        <family val="2"/>
      </rPr>
      <t xml:space="preserve"> your application (Principal Contractor / Participant) please fill in this file and send it to National Projects Department (NPN) of FCiências.ID (</t>
    </r>
    <r>
      <rPr>
        <b/>
        <i/>
        <sz val="11"/>
        <color theme="4" tint="-0.249977111117893"/>
        <rFont val="Calibri"/>
        <family val="2"/>
      </rPr>
      <t>nacionaisID@fciencias-id.pt</t>
    </r>
    <r>
      <rPr>
        <b/>
        <i/>
        <u/>
        <sz val="11"/>
        <color theme="4" tint="-0.249977111117893"/>
        <rFont val="Calibri"/>
        <family val="2"/>
      </rPr>
      <t>)</t>
    </r>
    <r>
      <rPr>
        <i/>
        <sz val="11"/>
        <color theme="4" tint="-0.249977111117893"/>
        <rFont val="Calibri"/>
        <family val="2"/>
      </rPr>
      <t xml:space="preserve"> for budget validation</t>
    </r>
    <r>
      <rPr>
        <sz val="11"/>
        <color theme="4" tint="-0.249977111117893"/>
        <rFont val="Calibri"/>
        <family val="2"/>
      </rPr>
      <t>.</t>
    </r>
    <r>
      <rPr>
        <sz val="11"/>
        <color theme="1"/>
        <rFont val="Calibri"/>
        <family val="2"/>
        <scheme val="minor"/>
      </rPr>
      <t xml:space="preserve">
      • Os atrasos no envio desta informação podem resultar numa impossibilidade de validação do orçamento e a consequente não submissão da candidatura, pelo que solicitamos o envio do orçamento com a maior antecipação possível. // </t>
    </r>
    <r>
      <rPr>
        <i/>
        <sz val="11"/>
        <color theme="8" tint="-0.499984740745262"/>
        <rFont val="Calibri"/>
        <family val="2"/>
        <scheme val="minor"/>
      </rPr>
      <t xml:space="preserve">Delays in sending the information required may prevent the budget validation and the subsequent application submission, thus we request the sending of the budget as soon as possible. </t>
    </r>
    <r>
      <rPr>
        <sz val="11"/>
        <color theme="1"/>
        <rFont val="Calibri"/>
        <family val="2"/>
        <scheme val="minor"/>
      </rPr>
      <t xml:space="preserve">
      • A FCiências.ID reserva-se o direito de não aceitar participar em candidaturas a projetos em que não tenha validado o orçamento, inclusivamente nos casos em que é instituição parceira, sendo que para tal não irá proceder à assinatura da respetiva declaração de compromisso. // </t>
    </r>
    <r>
      <rPr>
        <i/>
        <sz val="11"/>
        <color theme="8" tint="-0.499984740745262"/>
        <rFont val="Calibri"/>
        <family val="2"/>
        <scheme val="minor"/>
      </rPr>
      <t>FCiências.ID reserves the right to refuse participating in applications which budget was not previously validated, including applications as participant instituition, and will not proceed with the signature of the statement of commitment.</t>
    </r>
  </si>
  <si>
    <t>INSA</t>
  </si>
  <si>
    <t>Instituto Nacional de Saúde Dr. Ricardo Jorge, I.P</t>
  </si>
  <si>
    <t>MAXIMUM BUDGET:</t>
  </si>
  <si>
    <r>
      <rPr>
        <sz val="11"/>
        <rFont val="Calibri"/>
        <family val="2"/>
      </rPr>
      <t xml:space="preserve">&gt;&gt;  FCT - </t>
    </r>
    <r>
      <rPr>
        <u/>
        <sz val="11"/>
        <color indexed="30"/>
        <rFont val="Calibri"/>
        <family val="2"/>
      </rPr>
      <t>marta.norton@fct.pt ou Pedromiguel.ferreira@fct.pt</t>
    </r>
  </si>
  <si>
    <t>PTDC 2025</t>
  </si>
  <si>
    <r>
      <t xml:space="preserve">Concurso de Projetos I&amp;D em todos os Domínios Científicos 2025
</t>
    </r>
    <r>
      <rPr>
        <sz val="14"/>
        <color theme="4" tint="-0.249977111117893"/>
        <rFont val="Calibri"/>
        <family val="2"/>
        <scheme val="minor"/>
      </rPr>
      <t xml:space="preserve">R&amp;D Projects in All Scientific Domains 2025
</t>
    </r>
  </si>
  <si>
    <t>IC&amp;DT</t>
  </si>
  <si>
    <t>Pex</t>
  </si>
  <si>
    <t>Inquiry for innovative readiness assessment</t>
  </si>
  <si>
    <r>
      <t xml:space="preserve">What is the aim of the project? 
</t>
    </r>
    <r>
      <rPr>
        <sz val="11"/>
        <color theme="1"/>
        <rFont val="Aptos"/>
        <family val="2"/>
      </rPr>
      <t>(Please specify in a generic way, e.g. characterization of materials, identification of molecules with biological activity, development of models or softwares, ecology studies, ….)</t>
    </r>
  </si>
  <si>
    <r>
      <t xml:space="preserve">What are the main deliverables of the project? 
</t>
    </r>
    <r>
      <rPr>
        <sz val="11"/>
        <color theme="1"/>
        <rFont val="Aptos"/>
        <family val="2"/>
      </rPr>
      <t>(Mark with "X" when applicable, and when so, fill in the expected delivery date)</t>
    </r>
  </si>
  <si>
    <t>Delivery date</t>
  </si>
  <si>
    <t>Peer-reviewed papers</t>
  </si>
  <si>
    <t xml:space="preserve">Thesis </t>
  </si>
  <si>
    <t>Patents</t>
  </si>
  <si>
    <t>Other (please specify)</t>
  </si>
  <si>
    <r>
      <t xml:space="preserve"> Have you identified specific applications, products, or services that will result from this project? 
</t>
    </r>
    <r>
      <rPr>
        <sz val="11"/>
        <color theme="1"/>
        <rFont val="Aptos"/>
        <family val="2"/>
      </rPr>
      <t>(Mark with "X" when applicable)</t>
    </r>
  </si>
  <si>
    <t>No, purely theoretical research</t>
  </si>
  <si>
    <t>Yes, may lead to the development of a product</t>
  </si>
  <si>
    <t>Yes, may lead to the development of a method</t>
  </si>
  <si>
    <t>Yes, may lead to the development of software</t>
  </si>
  <si>
    <t>Still undefined</t>
  </si>
  <si>
    <r>
      <t xml:space="preserve">Does your project answer a real market/societal need, limitation or inneficiency?
</t>
    </r>
    <r>
      <rPr>
        <sz val="11"/>
        <color theme="1"/>
        <rFont val="Aptos"/>
        <family val="2"/>
      </rPr>
      <t>(Mark with "X" when applicable)</t>
    </r>
    <r>
      <rPr>
        <b/>
        <sz val="11"/>
        <color theme="1"/>
        <rFont val="Aptos"/>
        <family val="2"/>
      </rPr>
      <t xml:space="preserve">
</t>
    </r>
  </si>
  <si>
    <t>Yes</t>
  </si>
  <si>
    <t>No</t>
  </si>
  <si>
    <t>I am uncertain</t>
  </si>
  <si>
    <t xml:space="preserve">What is the aim of the project? </t>
  </si>
  <si>
    <t>Peer-reviewed papers DATE</t>
  </si>
  <si>
    <t>Thesis DATE</t>
  </si>
  <si>
    <t>Patents DATE</t>
  </si>
  <si>
    <t>Other (please specify) DATE</t>
  </si>
  <si>
    <t>Does your project answer a real market/societal need, limitation or inneficiency? YES</t>
  </si>
  <si>
    <t>Does your project answer a real market/societal need, limitation or inneficiency? NO</t>
  </si>
  <si>
    <t>Does your project answer a real market/societal need, limitation or inneficiency? I am uncertain</t>
  </si>
  <si>
    <t>Data do 1º contacto</t>
  </si>
  <si>
    <t>Objetivo Socioecnómico</t>
  </si>
  <si>
    <t>05970000-Expanding Knowledge</t>
  </si>
  <si>
    <r>
      <t xml:space="preserve">&gt;&gt; Data de envio deste ficheiro preenchido à FCiências.ID para validação // </t>
    </r>
    <r>
      <rPr>
        <i/>
        <sz val="11"/>
        <color theme="8" tint="-0.499984740745262"/>
        <rFont val="Calibri"/>
        <family val="2"/>
        <scheme val="minor"/>
      </rPr>
      <t>Deadeline for sending</t>
    </r>
    <r>
      <rPr>
        <i/>
        <sz val="11"/>
        <color theme="8" tint="-0.499984740745262"/>
        <rFont val="Calibri"/>
        <family val="2"/>
      </rPr>
      <t xml:space="preserve"> this file to FCiências.ID for budget validation:</t>
    </r>
    <r>
      <rPr>
        <sz val="11"/>
        <rFont val="Calibri"/>
        <family val="2"/>
      </rPr>
      <t xml:space="preserve"> </t>
    </r>
    <r>
      <rPr>
        <b/>
        <u/>
        <sz val="12"/>
        <color indexed="60"/>
        <rFont val="Calibri"/>
        <family val="2"/>
      </rPr>
      <t>until 18/03/2026</t>
    </r>
  </si>
  <si>
    <t>Ficheiro Apoio_LUMP SUM_V2026.02.24</t>
  </si>
  <si>
    <t>MONTHS</t>
  </si>
  <si>
    <t>Alert: Error! Task duration not compatible with maximum project duration</t>
  </si>
  <si>
    <r>
      <t>3.2 - Deliverables and delivery dates</t>
    </r>
    <r>
      <rPr>
        <sz val="9"/>
        <color theme="1"/>
        <rFont val="Calibri"/>
        <family val="2"/>
        <scheme val="minor"/>
      </rPr>
      <t xml:space="preserve"> (Not mandatory)</t>
    </r>
  </si>
  <si>
    <t>Maximum number of PMs each team member can dedicate to each task &gt;&gt;&gt;</t>
  </si>
  <si>
    <t>TOTAL PMs PER TASK</t>
  </si>
  <si>
    <t xml:space="preserve">TOTAL PMs PER TASK &gt; </t>
  </si>
  <si>
    <t>CONVERSION OF PM INTO WORKING DAYS (ESTIMATE)* &gt;</t>
  </si>
  <si>
    <t>CONVERSION OF PM INTO WORKING HOURS (ESTIMATE)* &gt;</t>
  </si>
  <si>
    <t>*It is assumed that each month has 22 working days and a working day consists of 7 hours.</t>
  </si>
  <si>
    <t>Total direct expenses indicated on sheets 4, 5 and 6:</t>
  </si>
  <si>
    <r>
      <t>If you answered "</t>
    </r>
    <r>
      <rPr>
        <b/>
        <sz val="11"/>
        <rFont val="Aptos"/>
      </rPr>
      <t>yes</t>
    </r>
    <r>
      <rPr>
        <sz val="11"/>
        <color theme="1"/>
        <rFont val="Aptos"/>
        <family val="2"/>
      </rPr>
      <t>", please specify</t>
    </r>
  </si>
  <si>
    <t>If you answered "yes", please specify</t>
  </si>
  <si>
    <t>*CIC &amp; CGC&amp;T</t>
  </si>
  <si>
    <r>
      <t>CGC&amp;T</t>
    </r>
    <r>
      <rPr>
        <sz val="10"/>
        <color theme="1"/>
        <rFont val="Calibri"/>
        <family val="2"/>
        <scheme val="minor"/>
      </rPr>
      <t xml:space="preserve"> - Carreira de Gestão de Ciência e Tecnologia</t>
    </r>
  </si>
  <si>
    <t>Técnico Auxiliar</t>
  </si>
  <si>
    <t>More information</t>
  </si>
  <si>
    <t>GC</t>
  </si>
  <si>
    <t>Gestor de Ciência</t>
  </si>
  <si>
    <t>TI</t>
  </si>
  <si>
    <t>Técnico de Investigação</t>
  </si>
  <si>
    <t>EILC</t>
  </si>
  <si>
    <t>Especialista de Infra-estruturas Laboratoriais e Computacionais</t>
  </si>
  <si>
    <t>COM</t>
  </si>
  <si>
    <t>Comunicador de Ciência</t>
  </si>
  <si>
    <t>EINOV</t>
  </si>
  <si>
    <t>Especialista em Inovação</t>
  </si>
  <si>
    <r>
      <t>CIC</t>
    </r>
    <r>
      <rPr>
        <sz val="10"/>
        <color theme="1"/>
        <rFont val="Calibri"/>
        <family val="2"/>
        <scheme val="minor"/>
      </rPr>
      <t xml:space="preserve"> - Carreira de Investigação Científica</t>
    </r>
  </si>
  <si>
    <t>Estagiário de investigação</t>
  </si>
  <si>
    <t>Assistente de investigação</t>
  </si>
  <si>
    <t>Investigador de nível inicial</t>
  </si>
  <si>
    <t>Investigador auxiliar</t>
  </si>
  <si>
    <t>Investigador principal</t>
  </si>
  <si>
    <t>investigador coordenador</t>
  </si>
  <si>
    <t xml:space="preserve">TA; GC; TI
</t>
  </si>
  <si>
    <t>GC; TI</t>
  </si>
  <si>
    <t>EILC; COM; GC</t>
  </si>
  <si>
    <t>CIC*</t>
  </si>
  <si>
    <t>CGC&amp;T*</t>
  </si>
  <si>
    <t>NOTAS</t>
  </si>
  <si>
    <t>Atividades de I&amp;D a realizar por doutorados (BIPD)</t>
  </si>
  <si>
    <t>Atividades de I&amp;D a realizar por estudantes de doutoramento ou por licenciados e mestres inscritos em cursos não conferentes de grau académico (BI)</t>
  </si>
  <si>
    <t>Atividades de I&amp;D a realizar por estudantes de mestrado, mestrado integrado ou por licenciados e mestres inscritos em cursos não conferentes de grau académico (BI)</t>
  </si>
  <si>
    <t>Seguro de Acidentes Pessoais</t>
  </si>
  <si>
    <t>Seguro Social Voluntário</t>
  </si>
  <si>
    <t>Atividades de iniciação a I&amp;D (BII)</t>
  </si>
  <si>
    <t>NOTES</t>
  </si>
  <si>
    <t>Ciências ULISBOA, o TecLabs e a FCiências.ID intend to analyse the innovation potential of the applications so that they can eventually submit proposals to researchers. FCiências.ID will not share the applications (these are confidential). We will only share the responses given in this survey with TecLabs and Ciências ULISBOA and, eventually, the information that FCT makes public on its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</si>
</sst>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 _€_-;\-* #,##0.00\ _€_-;_-* &quot;-&quot;??\ _€_-;_-@_-"/>
    <numFmt numFmtId="164" formatCode="#,##0.00_ ;[Red]\-#,##0.00\ "/>
    <numFmt numFmtId="165" formatCode="0_ ;\-0\ "/>
    <numFmt numFmtId="166" formatCode="#,##0.00\ &quot;€&quot;"/>
    <numFmt numFmtId="167" formatCode="#,##0.0_ ;[Red]\-#,##0.0\ "/>
    <numFmt numFmtId="168" formatCode="_-* #,##0.000\ &quot;€&quot;_-;\-* #,##0.000\ &quot;€&quot;_-;_-* &quot;-&quot;???\ &quot;€&quot;_-;_-@_-"/>
  </numFmts>
  <fonts count="123">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sz val="11"/>
      <color theme="2" tint="-0.89999084444715716"/>
      <name val="Calibri"/>
      <family val="2"/>
      <scheme val="minor"/>
    </font>
    <font>
      <sz val="9"/>
      <color theme="2" tint="-0.89999084444715716"/>
      <name val="Calibri"/>
      <family val="2"/>
      <scheme val="minor"/>
    </font>
    <font>
      <sz val="8"/>
      <color theme="2" tint="-0.89999084444715716"/>
      <name val="Calibri"/>
      <family val="2"/>
      <scheme val="minor"/>
    </font>
    <font>
      <b/>
      <sz val="9"/>
      <color theme="1"/>
      <name val="Calibri"/>
      <family val="2"/>
      <scheme val="minor"/>
    </font>
    <font>
      <sz val="10"/>
      <color theme="1"/>
      <name val="Calibri"/>
      <family val="2"/>
      <scheme val="minor"/>
    </font>
    <font>
      <sz val="11"/>
      <color theme="4" tint="-0.249977111117893"/>
      <name val="Calibri"/>
      <family val="2"/>
      <scheme val="minor"/>
    </font>
    <font>
      <i/>
      <sz val="11"/>
      <color theme="1"/>
      <name val="Calibri"/>
      <family val="2"/>
      <scheme val="minor"/>
    </font>
    <font>
      <sz val="11"/>
      <color theme="1"/>
      <name val="Calibri"/>
      <family val="2"/>
      <charset val="161"/>
      <scheme val="minor"/>
    </font>
    <font>
      <sz val="14"/>
      <color theme="1"/>
      <name val="Calibri"/>
      <family val="2"/>
      <charset val="161"/>
      <scheme val="minor"/>
    </font>
    <font>
      <sz val="9"/>
      <color theme="1"/>
      <name val="Arial"/>
      <family val="2"/>
    </font>
    <font>
      <sz val="9"/>
      <color theme="1"/>
      <name val="Calibri"/>
      <family val="2"/>
      <charset val="161"/>
      <scheme val="minor"/>
    </font>
    <font>
      <sz val="8"/>
      <color theme="1"/>
      <name val="Calibri"/>
      <family val="2"/>
      <charset val="161"/>
      <scheme val="minor"/>
    </font>
    <font>
      <b/>
      <sz val="12"/>
      <color theme="1"/>
      <name val="Calibri"/>
      <family val="2"/>
      <scheme val="minor"/>
    </font>
    <font>
      <b/>
      <sz val="9"/>
      <color indexed="81"/>
      <name val="Tahoma"/>
      <family val="2"/>
    </font>
    <font>
      <sz val="9"/>
      <color indexed="81"/>
      <name val="Tahoma"/>
      <family val="2"/>
    </font>
    <font>
      <i/>
      <sz val="9"/>
      <color theme="1"/>
      <name val="Calibri"/>
      <family val="2"/>
      <scheme val="minor"/>
    </font>
    <font>
      <sz val="10"/>
      <name val="Arial"/>
      <family val="2"/>
    </font>
    <font>
      <b/>
      <sz val="10"/>
      <color theme="0"/>
      <name val="Arial"/>
      <family val="2"/>
    </font>
    <font>
      <sz val="10"/>
      <name val="Tahoma"/>
      <family val="2"/>
    </font>
    <font>
      <sz val="10"/>
      <name val="Calibri"/>
      <family val="2"/>
    </font>
    <font>
      <u/>
      <sz val="11"/>
      <color theme="10"/>
      <name val="Calibri"/>
      <family val="2"/>
      <scheme val="minor"/>
    </font>
    <font>
      <sz val="8"/>
      <name val="Calibri"/>
      <family val="2"/>
      <scheme val="minor"/>
    </font>
    <font>
      <sz val="8"/>
      <color rgb="FFFF0000"/>
      <name val="Calibri"/>
      <family val="2"/>
      <scheme val="minor"/>
    </font>
    <font>
      <sz val="11"/>
      <color rgb="FF0070C0"/>
      <name val="Calibri"/>
      <family val="2"/>
      <scheme val="minor"/>
    </font>
    <font>
      <sz val="8"/>
      <color rgb="FF0070C0"/>
      <name val="Calibri"/>
      <family val="2"/>
      <scheme val="minor"/>
    </font>
    <font>
      <sz val="11"/>
      <color rgb="FF00B050"/>
      <name val="Calibri"/>
      <family val="2"/>
      <scheme val="minor"/>
    </font>
    <font>
      <sz val="6"/>
      <color theme="1"/>
      <name val="Calibri"/>
      <family val="2"/>
      <scheme val="minor"/>
    </font>
    <font>
      <sz val="7"/>
      <name val="Calibri"/>
      <family val="2"/>
      <scheme val="minor"/>
    </font>
    <font>
      <b/>
      <sz val="11"/>
      <color rgb="FF00B050"/>
      <name val="Calibri"/>
      <family val="2"/>
      <scheme val="minor"/>
    </font>
    <font>
      <b/>
      <sz val="9"/>
      <color rgb="FF00B050"/>
      <name val="Calibri"/>
      <family val="2"/>
      <scheme val="minor"/>
    </font>
    <font>
      <sz val="6"/>
      <color rgb="FF00B050"/>
      <name val="Calibri"/>
      <family val="2"/>
      <scheme val="minor"/>
    </font>
    <font>
      <b/>
      <sz val="6"/>
      <color rgb="FF00B050"/>
      <name val="Calibri"/>
      <family val="2"/>
      <scheme val="minor"/>
    </font>
    <font>
      <b/>
      <sz val="11"/>
      <color theme="0"/>
      <name val="Calibri"/>
      <family val="2"/>
      <scheme val="minor"/>
    </font>
    <font>
      <sz val="11"/>
      <color theme="0"/>
      <name val="Calibri"/>
      <family val="2"/>
      <scheme val="minor"/>
    </font>
    <font>
      <b/>
      <sz val="26"/>
      <color theme="1"/>
      <name val="Calibri"/>
      <family val="2"/>
      <scheme val="minor"/>
    </font>
    <font>
      <b/>
      <u/>
      <sz val="14"/>
      <color theme="1"/>
      <name val="Calibri"/>
      <family val="2"/>
      <scheme val="minor"/>
    </font>
    <font>
      <i/>
      <sz val="11"/>
      <name val="Calibri"/>
      <family val="2"/>
      <scheme val="minor"/>
    </font>
    <font>
      <sz val="8"/>
      <color theme="0"/>
      <name val="Calibri"/>
      <family val="2"/>
    </font>
    <font>
      <sz val="11"/>
      <color theme="0"/>
      <name val="Calibri"/>
      <family val="2"/>
    </font>
    <font>
      <b/>
      <sz val="8"/>
      <color theme="1"/>
      <name val="Calibri"/>
      <family val="2"/>
      <scheme val="minor"/>
    </font>
    <font>
      <sz val="8"/>
      <color rgb="FFC00000"/>
      <name val="Calibri"/>
      <family val="2"/>
      <scheme val="minor"/>
    </font>
    <font>
      <sz val="11"/>
      <color rgb="FFC00000"/>
      <name val="Calibri"/>
      <family val="2"/>
      <scheme val="minor"/>
    </font>
    <font>
      <sz val="14"/>
      <color theme="4" tint="-0.249977111117893"/>
      <name val="Calibri"/>
      <family val="2"/>
      <scheme val="minor"/>
    </font>
    <font>
      <sz val="11"/>
      <name val="Calibri"/>
      <family val="2"/>
      <scheme val="minor"/>
    </font>
    <font>
      <b/>
      <u/>
      <sz val="11"/>
      <color theme="1"/>
      <name val="Calibri"/>
      <family val="2"/>
      <scheme val="minor"/>
    </font>
    <font>
      <b/>
      <i/>
      <u/>
      <sz val="11"/>
      <color theme="4" tint="-0.249977111117893"/>
      <name val="Calibri"/>
      <family val="2"/>
      <scheme val="minor"/>
    </font>
    <font>
      <i/>
      <sz val="11"/>
      <color theme="4" tint="-0.249977111117893"/>
      <name val="Calibri"/>
      <family val="2"/>
      <scheme val="minor"/>
    </font>
    <font>
      <i/>
      <sz val="11"/>
      <color theme="4" tint="-0.249977111117893"/>
      <name val="Calibri"/>
      <family val="2"/>
    </font>
    <font>
      <i/>
      <u/>
      <sz val="9"/>
      <color theme="10"/>
      <name val="Calibri"/>
      <family val="2"/>
      <scheme val="minor"/>
    </font>
    <font>
      <sz val="11"/>
      <color theme="4" tint="-0.249977111117893"/>
      <name val="Calibri"/>
      <family val="2"/>
    </font>
    <font>
      <sz val="11"/>
      <name val="Calibri"/>
      <family val="2"/>
    </font>
    <font>
      <i/>
      <sz val="11"/>
      <color theme="8" tint="-0.499984740745262"/>
      <name val="Calibri"/>
      <family val="2"/>
      <scheme val="minor"/>
    </font>
    <font>
      <b/>
      <sz val="11"/>
      <name val="Calibri"/>
      <family val="2"/>
      <scheme val="minor"/>
    </font>
    <font>
      <b/>
      <i/>
      <sz val="11"/>
      <color theme="4" tint="-0.249977111117893"/>
      <name val="Calibri"/>
      <family val="2"/>
    </font>
    <font>
      <b/>
      <i/>
      <u/>
      <sz val="11"/>
      <color theme="4" tint="-0.249977111117893"/>
      <name val="Calibri"/>
      <family val="2"/>
    </font>
    <font>
      <i/>
      <sz val="11"/>
      <color theme="8" tint="-0.499984740745262"/>
      <name val="Calibri"/>
      <family val="2"/>
    </font>
    <font>
      <b/>
      <u/>
      <sz val="12"/>
      <color indexed="60"/>
      <name val="Calibri"/>
      <family val="2"/>
    </font>
    <font>
      <u/>
      <sz val="11"/>
      <color indexed="30"/>
      <name val="Calibri"/>
      <family val="2"/>
    </font>
    <font>
      <sz val="11"/>
      <color theme="10"/>
      <name val="Calibri"/>
      <family val="2"/>
      <scheme val="minor"/>
    </font>
    <font>
      <b/>
      <sz val="10"/>
      <color rgb="FF800000"/>
      <name val="Calibri"/>
      <family val="2"/>
      <scheme val="minor"/>
    </font>
    <font>
      <b/>
      <i/>
      <u/>
      <sz val="11"/>
      <color theme="1"/>
      <name val="Calibri"/>
      <family val="2"/>
      <scheme val="minor"/>
    </font>
    <font>
      <i/>
      <u/>
      <sz val="11"/>
      <color theme="4" tint="-0.249977111117893"/>
      <name val="Calibri"/>
      <family val="2"/>
    </font>
    <font>
      <u/>
      <sz val="11"/>
      <name val="Calibri"/>
      <family val="2"/>
      <scheme val="minor"/>
    </font>
    <font>
      <b/>
      <sz val="11"/>
      <color theme="4" tint="-0.249977111117893"/>
      <name val="Calibri"/>
      <family val="2"/>
    </font>
    <font>
      <b/>
      <sz val="11"/>
      <color theme="4" tint="-0.249977111117893"/>
      <name val="Calibri"/>
      <family val="2"/>
      <scheme val="minor"/>
    </font>
    <font>
      <sz val="11"/>
      <color theme="4" tint="-0.499984740745262"/>
      <name val="Calibri"/>
      <family val="2"/>
      <scheme val="minor"/>
    </font>
    <font>
      <b/>
      <i/>
      <sz val="11"/>
      <color theme="1"/>
      <name val="Calibri"/>
      <family val="2"/>
      <scheme val="minor"/>
    </font>
    <font>
      <u/>
      <sz val="11"/>
      <color theme="10"/>
      <name val="Calibri"/>
      <family val="2"/>
    </font>
    <font>
      <i/>
      <sz val="9"/>
      <color theme="10"/>
      <name val="Calibri"/>
      <family val="2"/>
      <scheme val="minor"/>
    </font>
    <font>
      <b/>
      <sz val="20"/>
      <color rgb="FF00B050"/>
      <name val="Calibri"/>
      <family val="2"/>
      <scheme val="minor"/>
    </font>
    <font>
      <b/>
      <i/>
      <sz val="14"/>
      <color theme="10"/>
      <name val="Calibri"/>
      <family val="2"/>
      <scheme val="minor"/>
    </font>
    <font>
      <sz val="10"/>
      <color theme="4" tint="-0.249977111117893"/>
      <name val="Calibri"/>
      <family val="2"/>
      <scheme val="minor"/>
    </font>
    <font>
      <i/>
      <sz val="8"/>
      <color theme="4" tint="-0.249977111117893"/>
      <name val="Calibri"/>
      <family val="2"/>
      <scheme val="minor"/>
    </font>
    <font>
      <b/>
      <sz val="22"/>
      <color theme="1"/>
      <name val="Calibri"/>
      <family val="2"/>
      <scheme val="minor"/>
    </font>
    <font>
      <b/>
      <sz val="8"/>
      <name val="Calibri"/>
      <family val="2"/>
      <scheme val="minor"/>
    </font>
    <font>
      <b/>
      <i/>
      <sz val="10"/>
      <color theme="4" tint="-0.249977111117893"/>
      <name val="Calibri"/>
      <family val="2"/>
    </font>
    <font>
      <u/>
      <sz val="10"/>
      <color theme="10"/>
      <name val="Calibri"/>
      <family val="2"/>
      <scheme val="minor"/>
    </font>
    <font>
      <b/>
      <sz val="10"/>
      <color theme="1"/>
      <name val="Calibri"/>
      <family val="2"/>
      <scheme val="minor"/>
    </font>
    <font>
      <i/>
      <sz val="8"/>
      <color theme="1"/>
      <name val="Calibri"/>
      <family val="2"/>
      <scheme val="minor"/>
    </font>
    <font>
      <b/>
      <sz val="9"/>
      <color theme="9" tint="0.59999389629810485"/>
      <name val="Calibri"/>
      <family val="2"/>
      <scheme val="minor"/>
    </font>
    <font>
      <b/>
      <i/>
      <sz val="11"/>
      <color theme="4" tint="-0.249977111117893"/>
      <name val="Calibri"/>
      <family val="2"/>
      <scheme val="minor"/>
    </font>
    <font>
      <b/>
      <u/>
      <sz val="11"/>
      <color theme="4" tint="-0.249977111117893"/>
      <name val="Calibri"/>
      <family val="2"/>
      <scheme val="minor"/>
    </font>
    <font>
      <sz val="8"/>
      <color theme="4" tint="-0.249977111117893"/>
      <name val="Calibri"/>
      <family val="2"/>
      <scheme val="minor"/>
    </font>
    <font>
      <sz val="11"/>
      <color rgb="FFFF0000"/>
      <name val="Calibri"/>
      <family val="2"/>
      <scheme val="minor"/>
    </font>
    <font>
      <sz val="11"/>
      <color theme="2" tint="-0.749992370372631"/>
      <name val="Calibri"/>
      <family val="2"/>
      <scheme val="minor"/>
    </font>
    <font>
      <sz val="26"/>
      <color rgb="FFFF0000"/>
      <name val="Calibri"/>
      <family val="2"/>
      <scheme val="minor"/>
    </font>
    <font>
      <sz val="8"/>
      <color theme="0" tint="-0.14999847407452621"/>
      <name val="Calibri"/>
      <family val="2"/>
      <scheme val="minor"/>
    </font>
    <font>
      <b/>
      <sz val="11"/>
      <color theme="5" tint="-0.249977111117893"/>
      <name val="Calibri"/>
      <family val="2"/>
      <scheme val="minor"/>
    </font>
    <font>
      <sz val="14"/>
      <color rgb="FFFF0000"/>
      <name val="Calibri"/>
      <family val="2"/>
      <scheme val="minor"/>
    </font>
    <font>
      <sz val="6"/>
      <color theme="2" tint="-0.89999084444715716"/>
      <name val="Calibri"/>
      <family val="2"/>
      <scheme val="minor"/>
    </font>
    <font>
      <sz val="6"/>
      <color theme="0" tint="-0.249977111117893"/>
      <name val="Calibri"/>
      <family val="2"/>
      <scheme val="minor"/>
    </font>
    <font>
      <sz val="9"/>
      <color theme="0" tint="-0.14999847407452621"/>
      <name val="Calibri"/>
      <family val="2"/>
      <scheme val="minor"/>
    </font>
    <font>
      <sz val="6"/>
      <color theme="2"/>
      <name val="Calibri"/>
      <family val="2"/>
      <scheme val="minor"/>
    </font>
    <font>
      <b/>
      <sz val="6"/>
      <color theme="0"/>
      <name val="Calibri"/>
      <family val="2"/>
      <scheme val="minor"/>
    </font>
    <font>
      <b/>
      <sz val="11"/>
      <color rgb="FF1A09F5"/>
      <name val="Calibri"/>
      <family val="2"/>
      <scheme val="minor"/>
    </font>
    <font>
      <b/>
      <sz val="14"/>
      <color theme="5" tint="-0.249977111117893"/>
      <name val="Calibri"/>
      <family val="2"/>
      <scheme val="minor"/>
    </font>
    <font>
      <sz val="12"/>
      <color theme="1"/>
      <name val="Calibri"/>
      <family val="2"/>
      <scheme val="minor"/>
    </font>
    <font>
      <sz val="11"/>
      <color theme="5" tint="-0.249977111117893"/>
      <name val="Calibri"/>
      <family val="2"/>
      <scheme val="minor"/>
    </font>
    <font>
      <i/>
      <sz val="11"/>
      <color theme="0" tint="-0.499984740745262"/>
      <name val="Calibri"/>
      <family val="2"/>
      <scheme val="minor"/>
    </font>
    <font>
      <sz val="20"/>
      <color rgb="FFFF0000"/>
      <name val="Calibri"/>
      <family val="2"/>
      <scheme val="minor"/>
    </font>
    <font>
      <b/>
      <i/>
      <sz val="11"/>
      <color theme="0" tint="-0.499984740745262"/>
      <name val="Calibri"/>
      <family val="2"/>
      <scheme val="minor"/>
    </font>
    <font>
      <b/>
      <sz val="11"/>
      <color rgb="FFC00000"/>
      <name val="Calibri"/>
      <family val="2"/>
      <scheme val="minor"/>
    </font>
    <font>
      <b/>
      <sz val="12"/>
      <color rgb="FF1A09F5"/>
      <name val="Calibri"/>
      <family val="2"/>
      <scheme val="minor"/>
    </font>
    <font>
      <sz val="11"/>
      <color theme="1" tint="4.9989318521683403E-2"/>
      <name val="Calibri"/>
      <family val="2"/>
      <scheme val="minor"/>
    </font>
    <font>
      <i/>
      <sz val="11"/>
      <color theme="1" tint="4.9989318521683403E-2"/>
      <name val="Calibri"/>
      <family val="2"/>
      <scheme val="minor"/>
    </font>
    <font>
      <b/>
      <sz val="11"/>
      <color theme="1"/>
      <name val="Aptos"/>
      <family val="2"/>
    </font>
    <font>
      <b/>
      <sz val="11"/>
      <color theme="4" tint="0.39997558519241921"/>
      <name val="Aptos"/>
      <family val="2"/>
    </font>
    <font>
      <sz val="11"/>
      <color theme="1"/>
      <name val="Aptos"/>
      <family val="2"/>
    </font>
    <font>
      <sz val="9"/>
      <color theme="1"/>
      <name val="Aptos"/>
      <family val="2"/>
    </font>
    <font>
      <sz val="26"/>
      <color theme="1"/>
      <name val="Calibri"/>
      <family val="2"/>
      <scheme val="minor"/>
    </font>
    <font>
      <sz val="9"/>
      <color theme="0" tint="-0.499984740745262"/>
      <name val="Calibri"/>
      <family val="2"/>
      <scheme val="minor"/>
    </font>
    <font>
      <sz val="11"/>
      <name val="Calibri"/>
      <family val="2"/>
      <charset val="161"/>
      <scheme val="minor"/>
    </font>
    <font>
      <b/>
      <sz val="11"/>
      <name val="Aptos"/>
    </font>
    <font>
      <sz val="12"/>
      <color theme="1"/>
      <name val="Calibri"/>
      <family val="2"/>
      <charset val="161"/>
      <scheme val="minor"/>
    </font>
    <font>
      <b/>
      <i/>
      <sz val="8"/>
      <color theme="1"/>
      <name val="Calibri"/>
      <family val="2"/>
      <scheme val="minor"/>
    </font>
  </fonts>
  <fills count="32">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C24D5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5"/>
        <bgColor theme="5"/>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59999389629810485"/>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right/>
      <top/>
      <bottom style="thin">
        <color indexed="64"/>
      </bottom>
      <diagonal/>
    </border>
    <border>
      <left/>
      <right style="thin">
        <color indexed="64"/>
      </right>
      <top style="thin">
        <color auto="1"/>
      </top>
      <bottom/>
      <diagonal/>
    </border>
    <border>
      <left style="thin">
        <color indexed="64"/>
      </left>
      <right/>
      <top/>
      <bottom/>
      <diagonal/>
    </border>
    <border>
      <left style="hair">
        <color auto="1"/>
      </left>
      <right style="hair">
        <color auto="1"/>
      </right>
      <top style="thin">
        <color auto="1"/>
      </top>
      <bottom/>
      <diagonal/>
    </border>
    <border>
      <left style="thin">
        <color indexed="64"/>
      </left>
      <right/>
      <top style="thin">
        <color indexed="64"/>
      </top>
      <bottom/>
      <diagonal/>
    </border>
    <border>
      <left/>
      <right/>
      <top style="thin">
        <color indexed="64"/>
      </top>
      <bottom/>
      <diagonal/>
    </border>
    <border>
      <left style="hair">
        <color theme="0" tint="-0.499984740745262"/>
      </left>
      <right style="hair">
        <color theme="0" tint="-0.499984740745262"/>
      </right>
      <top style="thin">
        <color auto="1"/>
      </top>
      <bottom style="hair">
        <color theme="0" tint="-0.499984740745262"/>
      </bottom>
      <diagonal/>
    </border>
    <border>
      <left/>
      <right style="medium">
        <color rgb="FFC00000"/>
      </right>
      <top style="thin">
        <color indexed="64"/>
      </top>
      <bottom style="thin">
        <color indexed="64"/>
      </bottom>
      <diagonal/>
    </border>
    <border>
      <left style="medium">
        <color rgb="FFC00000"/>
      </left>
      <right/>
      <top style="thin">
        <color indexed="64"/>
      </top>
      <bottom style="thin">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indexed="64"/>
      </right>
      <top style="thin">
        <color theme="1" tint="4.9989318521683403E-2"/>
      </top>
      <bottom style="thin">
        <color theme="1" tint="4.9989318521683403E-2"/>
      </bottom>
      <diagonal/>
    </border>
    <border>
      <left/>
      <right style="thin">
        <color indexed="64"/>
      </right>
      <top style="thin">
        <color theme="1" tint="4.9989318521683403E-2"/>
      </top>
      <bottom style="thin">
        <color theme="1" tint="4.9989318521683403E-2"/>
      </bottom>
      <diagonal/>
    </border>
    <border>
      <left style="thin">
        <color indexed="64"/>
      </left>
      <right style="hair">
        <color theme="0" tint="-0.24994659260841701"/>
      </right>
      <top style="thin">
        <color indexed="64"/>
      </top>
      <bottom style="thin">
        <color theme="1" tint="4.9989318521683403E-2"/>
      </bottom>
      <diagonal/>
    </border>
    <border>
      <left style="hair">
        <color theme="0" tint="-0.24994659260841701"/>
      </left>
      <right style="hair">
        <color theme="0" tint="-0.24994659260841701"/>
      </right>
      <top/>
      <bottom style="thin">
        <color theme="1" tint="4.9989318521683403E-2"/>
      </bottom>
      <diagonal/>
    </border>
    <border>
      <left style="hair">
        <color theme="0" tint="-0.24994659260841701"/>
      </left>
      <right style="medium">
        <color rgb="FFC00000"/>
      </right>
      <top/>
      <bottom style="thin">
        <color theme="1" tint="4.9989318521683403E-2"/>
      </bottom>
      <diagonal/>
    </border>
    <border>
      <left style="medium">
        <color rgb="FFC00000"/>
      </left>
      <right style="hair">
        <color theme="0" tint="-0.24994659260841701"/>
      </right>
      <top/>
      <bottom style="thin">
        <color theme="1" tint="4.9989318521683403E-2"/>
      </bottom>
      <diagonal/>
    </border>
    <border>
      <left style="hair">
        <color theme="1" tint="0.499984740745262"/>
      </left>
      <right style="thin">
        <color indexed="64"/>
      </right>
      <top style="hair">
        <color theme="0" tint="-0.499984740745262"/>
      </top>
      <bottom style="hair">
        <color theme="0" tint="-0.499984740745262"/>
      </bottom>
      <diagonal/>
    </border>
    <border>
      <left style="thin">
        <color indexed="64"/>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rgb="FFC00000"/>
      </right>
      <top style="hair">
        <color theme="0" tint="-0.24994659260841701"/>
      </top>
      <bottom style="hair">
        <color theme="0" tint="-0.24994659260841701"/>
      </bottom>
      <diagonal/>
    </border>
    <border>
      <left style="medium">
        <color rgb="FFC00000"/>
      </left>
      <right style="hair">
        <color theme="0" tint="-0.24994659260841701"/>
      </right>
      <top style="hair">
        <color theme="0" tint="-0.24994659260841701"/>
      </top>
      <bottom style="hair">
        <color theme="0" tint="-0.24994659260841701"/>
      </bottom>
      <diagonal/>
    </border>
    <border>
      <left style="thin">
        <color indexed="64"/>
      </left>
      <right style="thin">
        <color indexed="64"/>
      </right>
      <top/>
      <bottom style="thin">
        <color indexed="64"/>
      </bottom>
      <diagonal/>
    </border>
    <border>
      <left style="thin">
        <color indexed="64"/>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medium">
        <color rgb="FFC00000"/>
      </right>
      <top/>
      <bottom style="hair">
        <color theme="0" tint="-0.24994659260841701"/>
      </bottom>
      <diagonal/>
    </border>
    <border>
      <left style="medium">
        <color rgb="FFC00000"/>
      </left>
      <right style="hair">
        <color theme="0" tint="-0.24994659260841701"/>
      </right>
      <top/>
      <bottom style="hair">
        <color theme="0" tint="-0.24994659260841701"/>
      </bottom>
      <diagonal/>
    </border>
    <border>
      <left/>
      <right style="medium">
        <color rgb="FFC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ck">
        <color rgb="FFFF0000"/>
      </left>
      <right style="thick">
        <color rgb="FFFF0000"/>
      </right>
      <top style="thick">
        <color rgb="FFFF0000"/>
      </top>
      <bottom style="thin">
        <color theme="6"/>
      </bottom>
      <diagonal/>
    </border>
    <border>
      <left style="thick">
        <color rgb="FFFF0000"/>
      </left>
      <right style="thick">
        <color rgb="FFFF0000"/>
      </right>
      <top style="thin">
        <color theme="6"/>
      </top>
      <bottom style="thin">
        <color theme="6"/>
      </bottom>
      <diagonal/>
    </border>
    <border>
      <left/>
      <right style="hair">
        <color auto="1"/>
      </right>
      <top style="thin">
        <color auto="1"/>
      </top>
      <bottom style="thin">
        <color auto="1"/>
      </bottom>
      <diagonal/>
    </border>
    <border>
      <left/>
      <right style="hair">
        <color auto="1"/>
      </right>
      <top style="thin">
        <color auto="1"/>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
      <left/>
      <right style="hair">
        <color theme="4" tint="-0.24994659260841701"/>
      </right>
      <top/>
      <bottom/>
      <diagonal/>
    </border>
    <border>
      <left/>
      <right/>
      <top style="hair">
        <color theme="4" tint="-0.24994659260841701"/>
      </top>
      <bottom/>
      <diagonal/>
    </border>
    <border>
      <left style="hair">
        <color auto="1"/>
      </left>
      <right/>
      <top style="thin">
        <color auto="1"/>
      </top>
      <bottom style="thin">
        <color auto="1"/>
      </bottom>
      <diagonal/>
    </border>
    <border>
      <left/>
      <right style="hair">
        <color auto="1"/>
      </right>
      <top/>
      <bottom/>
      <diagonal/>
    </border>
    <border>
      <left style="medium">
        <color indexed="64"/>
      </left>
      <right style="hair">
        <color theme="0" tint="-0.34998626667073579"/>
      </right>
      <top style="medium">
        <color indexed="64"/>
      </top>
      <bottom/>
      <diagonal/>
    </border>
    <border>
      <left style="hair">
        <color theme="0" tint="-0.34998626667073579"/>
      </left>
      <right style="hair">
        <color theme="0" tint="-0.34998626667073579"/>
      </right>
      <top style="medium">
        <color indexed="64"/>
      </top>
      <bottom style="hair">
        <color theme="0" tint="-0.34998626667073579"/>
      </bottom>
      <diagonal/>
    </border>
    <border>
      <left/>
      <right/>
      <top style="medium">
        <color indexed="64"/>
      </top>
      <bottom style="hair">
        <color theme="0" tint="-0.34998626667073579"/>
      </bottom>
      <diagonal/>
    </border>
    <border>
      <left style="medium">
        <color indexed="64"/>
      </left>
      <right style="hair">
        <color theme="0" tint="-0.34998626667073579"/>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thin">
        <color indexed="64"/>
      </bottom>
      <diagonal/>
    </border>
    <border>
      <left/>
      <right/>
      <top style="hair">
        <color theme="0" tint="-0.34998626667073579"/>
      </top>
      <bottom style="thin">
        <color indexed="64"/>
      </bottom>
      <diagonal/>
    </border>
    <border>
      <left style="hair">
        <color theme="0" tint="-0.34998626667073579"/>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bottom style="medium">
        <color indexed="64"/>
      </bottom>
      <diagonal/>
    </border>
    <border>
      <left style="hair">
        <color theme="0" tint="-0.34998626667073579"/>
      </left>
      <right/>
      <top style="hair">
        <color theme="0" tint="-0.34998626667073579"/>
      </top>
      <bottom style="medium">
        <color indexed="64"/>
      </bottom>
      <diagonal/>
    </border>
    <border>
      <left/>
      <right style="hair">
        <color theme="0" tint="-0.34998626667073579"/>
      </right>
      <top style="hair">
        <color theme="0" tint="-0.34998626667073579"/>
      </top>
      <bottom style="medium">
        <color indexed="64"/>
      </bottom>
      <diagonal/>
    </border>
    <border>
      <left style="hair">
        <color theme="0" tint="-0.34998626667073579"/>
      </left>
      <right style="hair">
        <color theme="0" tint="-0.34998626667073579"/>
      </right>
      <top style="hair">
        <color theme="0" tint="-0.34998626667073579"/>
      </top>
      <bottom style="medium">
        <color indexed="64"/>
      </bottom>
      <diagonal/>
    </border>
    <border>
      <left style="medium">
        <color indexed="64"/>
      </left>
      <right style="hair">
        <color theme="0" tint="-0.34998626667073579"/>
      </right>
      <top style="medium">
        <color indexed="64"/>
      </top>
      <bottom style="hair">
        <color theme="0" tint="-0.34998626667073579"/>
      </bottom>
      <diagonal/>
    </border>
    <border>
      <left style="medium">
        <color indexed="64"/>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style="hair">
        <color theme="0" tint="-0.34998626667073579"/>
      </top>
      <bottom style="medium">
        <color indexed="64"/>
      </bottom>
      <diagonal/>
    </border>
    <border>
      <left/>
      <right/>
      <top style="thin">
        <color theme="5"/>
      </top>
      <bottom/>
      <diagonal/>
    </border>
    <border>
      <left style="thin">
        <color theme="0"/>
      </left>
      <right/>
      <top/>
      <bottom style="thick">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style="thin">
        <color auto="1"/>
      </bottom>
      <diagonal/>
    </border>
    <border>
      <left style="hair">
        <color auto="1"/>
      </left>
      <right style="thin">
        <color indexed="64"/>
      </right>
      <top style="thin">
        <color indexed="64"/>
      </top>
      <bottom style="thin">
        <color auto="1"/>
      </bottom>
      <diagonal/>
    </border>
    <border>
      <left/>
      <right style="hair">
        <color auto="1"/>
      </right>
      <top/>
      <bottom style="thin">
        <color auto="1"/>
      </bottom>
      <diagonal/>
    </border>
    <border>
      <left/>
      <right/>
      <top style="thin">
        <color theme="6"/>
      </top>
      <bottom style="thin">
        <color theme="6"/>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style="thin">
        <color theme="6"/>
      </right>
      <top style="thin">
        <color theme="6"/>
      </top>
      <bottom style="hair">
        <color theme="6"/>
      </bottom>
      <diagonal/>
    </border>
    <border>
      <left style="thin">
        <color theme="6"/>
      </left>
      <right/>
      <top style="thin">
        <color theme="6"/>
      </top>
      <bottom style="hair">
        <color theme="6"/>
      </bottom>
      <diagonal/>
    </border>
    <border>
      <left style="thick">
        <color rgb="FFFF0000"/>
      </left>
      <right style="thick">
        <color rgb="FFFF0000"/>
      </right>
      <top style="thin">
        <color theme="6"/>
      </top>
      <bottom style="hair">
        <color theme="6"/>
      </bottom>
      <diagonal/>
    </border>
    <border>
      <left/>
      <right style="thin">
        <color theme="6"/>
      </right>
      <top style="thin">
        <color theme="6"/>
      </top>
      <bottom style="hair">
        <color theme="6"/>
      </bottom>
      <diagonal/>
    </border>
    <border>
      <left/>
      <right/>
      <top/>
      <bottom style="hair">
        <color theme="6"/>
      </bottom>
      <diagonal/>
    </border>
    <border>
      <left style="thin">
        <color indexed="64"/>
      </left>
      <right/>
      <top style="medium">
        <color indexed="64"/>
      </top>
      <bottom/>
      <diagonal/>
    </border>
    <border>
      <left style="thin">
        <color theme="2" tint="-0.499984740745262"/>
      </left>
      <right style="thin">
        <color theme="2" tint="-0.499984740745262"/>
      </right>
      <top style="double">
        <color auto="1"/>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5"/>
      </left>
      <right/>
      <top style="thin">
        <color theme="5"/>
      </top>
      <bottom/>
      <diagonal/>
    </border>
    <border>
      <left/>
      <right style="thin">
        <color theme="5"/>
      </right>
      <top style="thin">
        <color theme="5"/>
      </top>
      <bottom/>
      <diagonal/>
    </border>
    <border>
      <left style="thin">
        <color theme="5"/>
      </left>
      <right style="thin">
        <color theme="0" tint="-0.24994659260841701"/>
      </right>
      <top style="thin">
        <color theme="5"/>
      </top>
      <bottom/>
      <diagonal/>
    </border>
    <border>
      <left style="thin">
        <color theme="0" tint="-0.24994659260841701"/>
      </left>
      <right style="thin">
        <color theme="5"/>
      </right>
      <top style="thin">
        <color theme="5"/>
      </top>
      <bottom/>
      <diagonal/>
    </border>
    <border>
      <left style="thin">
        <color theme="5"/>
      </left>
      <right style="thin">
        <color theme="0" tint="-0.24994659260841701"/>
      </right>
      <top style="double">
        <color theme="5"/>
      </top>
      <bottom style="double">
        <color theme="5"/>
      </bottom>
      <diagonal/>
    </border>
    <border>
      <left style="thin">
        <color theme="0" tint="-0.24994659260841701"/>
      </left>
      <right style="thin">
        <color theme="0" tint="-0.24994659260841701"/>
      </right>
      <top style="double">
        <color theme="5"/>
      </top>
      <bottom style="double">
        <color theme="5"/>
      </bottom>
      <diagonal/>
    </border>
    <border>
      <left style="thin">
        <color theme="0" tint="-0.24994659260841701"/>
      </left>
      <right style="thin">
        <color theme="5"/>
      </right>
      <top style="double">
        <color theme="5"/>
      </top>
      <bottom style="double">
        <color theme="5"/>
      </bottom>
      <diagonal/>
    </border>
    <border>
      <left style="thin">
        <color theme="5"/>
      </left>
      <right/>
      <top style="double">
        <color theme="5"/>
      </top>
      <bottom style="double">
        <color theme="5"/>
      </bottom>
      <diagonal/>
    </border>
    <border>
      <left/>
      <right/>
      <top style="double">
        <color theme="5"/>
      </top>
      <bottom style="double">
        <color theme="5"/>
      </bottom>
      <diagonal/>
    </border>
    <border>
      <left/>
      <right style="thin">
        <color theme="5"/>
      </right>
      <top style="double">
        <color theme="5"/>
      </top>
      <bottom style="double">
        <color theme="5"/>
      </bottom>
      <diagonal/>
    </border>
    <border>
      <left/>
      <right/>
      <top/>
      <bottom style="thin">
        <color theme="4"/>
      </bottom>
      <diagonal/>
    </border>
    <border>
      <left style="thin">
        <color theme="5"/>
      </left>
      <right style="thin">
        <color theme="5"/>
      </right>
      <top style="thin">
        <color theme="5"/>
      </top>
      <bottom style="thin">
        <color theme="5"/>
      </bottom>
      <diagonal/>
    </border>
    <border>
      <left style="hair">
        <color theme="5" tint="-0.24994659260841701"/>
      </left>
      <right style="hair">
        <color theme="5" tint="-0.24994659260841701"/>
      </right>
      <top style="thin">
        <color theme="5" tint="-0.24994659260841701"/>
      </top>
      <bottom style="thin">
        <color theme="5" tint="-0.24994659260841701"/>
      </bottom>
      <diagonal/>
    </border>
    <border>
      <left style="thin">
        <color theme="5"/>
      </left>
      <right/>
      <top/>
      <bottom/>
      <diagonal/>
    </border>
    <border>
      <left/>
      <right/>
      <top/>
      <bottom style="thin">
        <color theme="5"/>
      </bottom>
      <diagonal/>
    </border>
    <border>
      <left/>
      <right/>
      <top style="thin">
        <color theme="5" tint="-0.24994659260841701"/>
      </top>
      <bottom style="thin">
        <color theme="5" tint="-0.24994659260841701"/>
      </bottom>
      <diagonal/>
    </border>
    <border>
      <left/>
      <right/>
      <top style="thin">
        <color theme="5" tint="-0.24994659260841701"/>
      </top>
      <bottom/>
      <diagonal/>
    </border>
    <border>
      <left style="hair">
        <color theme="0" tint="-0.499984740745262"/>
      </left>
      <right style="hair">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6"/>
      </left>
      <right/>
      <top/>
      <bottom/>
      <diagonal/>
    </border>
    <border>
      <left/>
      <right style="medium">
        <color indexed="64"/>
      </right>
      <top style="thin">
        <color indexed="64"/>
      </top>
      <bottom style="medium">
        <color indexed="64"/>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xf numFmtId="0" fontId="24" fillId="0" borderId="0"/>
    <xf numFmtId="9"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cellStyleXfs>
  <cellXfs count="916">
    <xf numFmtId="0" fontId="0" fillId="0" borderId="0" xfId="0"/>
    <xf numFmtId="0" fontId="0" fillId="0" borderId="0" xfId="0" applyAlignment="1">
      <alignment vertical="center"/>
    </xf>
    <xf numFmtId="0" fontId="2" fillId="0" borderId="0" xfId="0" applyFont="1" applyAlignment="1">
      <alignment horizontal="right" vertical="center"/>
    </xf>
    <xf numFmtId="0" fontId="0" fillId="0" borderId="6" xfId="0" applyBorder="1" applyAlignment="1">
      <alignment horizontal="center"/>
    </xf>
    <xf numFmtId="0" fontId="7" fillId="0" borderId="0" xfId="0" applyFont="1"/>
    <xf numFmtId="0" fontId="8" fillId="5" borderId="0" xfId="0" applyFont="1" applyFill="1" applyAlignment="1">
      <alignment horizontal="center"/>
    </xf>
    <xf numFmtId="0" fontId="9" fillId="5" borderId="0" xfId="0" applyFont="1" applyFill="1" applyAlignment="1">
      <alignment horizontal="center"/>
    </xf>
    <xf numFmtId="0" fontId="10" fillId="5" borderId="0" xfId="0" applyFont="1" applyFill="1" applyAlignment="1">
      <alignment horizontal="center" vertical="center"/>
    </xf>
    <xf numFmtId="0" fontId="6" fillId="0" borderId="6" xfId="0" applyFont="1" applyBorder="1" applyAlignment="1">
      <alignment horizontal="center"/>
    </xf>
    <xf numFmtId="14" fontId="7" fillId="5" borderId="0" xfId="0" applyNumberFormat="1" applyFont="1" applyFill="1"/>
    <xf numFmtId="164" fontId="0" fillId="0" borderId="6" xfId="0" applyNumberFormat="1" applyBorder="1" applyAlignment="1">
      <alignment horizontal="center"/>
    </xf>
    <xf numFmtId="0" fontId="0" fillId="0" borderId="0" xfId="0" applyAlignment="1">
      <alignment horizontal="center"/>
    </xf>
    <xf numFmtId="0" fontId="11" fillId="7" borderId="7" xfId="0" applyFont="1" applyFill="1" applyBorder="1" applyAlignment="1">
      <alignment horizontal="center"/>
    </xf>
    <xf numFmtId="0" fontId="11" fillId="3" borderId="6" xfId="0" applyFont="1" applyFill="1" applyBorder="1" applyAlignment="1">
      <alignment horizontal="center"/>
    </xf>
    <xf numFmtId="0" fontId="0" fillId="2" borderId="0" xfId="0" applyFill="1" applyAlignment="1">
      <alignment horizontal="center" vertical="center"/>
    </xf>
    <xf numFmtId="0" fontId="0" fillId="4" borderId="6" xfId="0" applyFill="1" applyBorder="1" applyAlignment="1">
      <alignment horizontal="center"/>
    </xf>
    <xf numFmtId="0" fontId="5" fillId="4" borderId="6" xfId="0" applyFont="1" applyFill="1" applyBorder="1" applyAlignment="1">
      <alignment horizontal="center"/>
    </xf>
    <xf numFmtId="44" fontId="0" fillId="0" borderId="0" xfId="0" applyNumberFormat="1"/>
    <xf numFmtId="0" fontId="0" fillId="0" borderId="1" xfId="0" applyBorder="1"/>
    <xf numFmtId="164" fontId="13" fillId="0" borderId="1" xfId="0" applyNumberFormat="1" applyFont="1" applyBorder="1"/>
    <xf numFmtId="0" fontId="13" fillId="0" borderId="1" xfId="0" applyFont="1" applyBorder="1"/>
    <xf numFmtId="0" fontId="5" fillId="0" borderId="0" xfId="0" applyFont="1"/>
    <xf numFmtId="2" fontId="6" fillId="0" borderId="0" xfId="0" applyNumberFormat="1" applyFont="1"/>
    <xf numFmtId="0" fontId="0" fillId="4" borderId="0" xfId="0" applyFill="1"/>
    <xf numFmtId="0" fontId="11" fillId="4" borderId="0" xfId="0" applyFont="1" applyFill="1" applyAlignment="1">
      <alignment horizontal="center"/>
    </xf>
    <xf numFmtId="0" fontId="5" fillId="4" borderId="0" xfId="0" applyFont="1" applyFill="1"/>
    <xf numFmtId="0" fontId="15" fillId="9" borderId="0" xfId="3" applyFill="1"/>
    <xf numFmtId="0" fontId="15" fillId="9" borderId="25" xfId="3" applyFill="1" applyBorder="1" applyAlignment="1">
      <alignment horizontal="center" vertical="center" wrapText="1"/>
    </xf>
    <xf numFmtId="0" fontId="18" fillId="9" borderId="25" xfId="3" applyFont="1" applyFill="1" applyBorder="1" applyAlignment="1">
      <alignment horizontal="left" vertical="center" wrapText="1"/>
    </xf>
    <xf numFmtId="2" fontId="15" fillId="9" borderId="25" xfId="3" applyNumberFormat="1" applyFill="1" applyBorder="1" applyAlignment="1">
      <alignment horizontal="center" vertical="center" wrapText="1"/>
    </xf>
    <xf numFmtId="0" fontId="15" fillId="9" borderId="25" xfId="3" applyFill="1" applyBorder="1" applyAlignment="1" applyProtection="1">
      <alignment horizontal="center" vertical="center" wrapText="1"/>
      <protection locked="0"/>
    </xf>
    <xf numFmtId="0" fontId="19" fillId="9" borderId="25" xfId="3" applyFont="1" applyFill="1" applyBorder="1" applyAlignment="1">
      <alignment horizontal="center" vertical="center" wrapText="1"/>
    </xf>
    <xf numFmtId="0" fontId="15" fillId="0" borderId="26" xfId="3" applyBorder="1" applyAlignment="1">
      <alignment vertical="center"/>
    </xf>
    <xf numFmtId="0" fontId="15" fillId="0" borderId="27" xfId="3" applyBorder="1" applyAlignment="1">
      <alignment vertical="center"/>
    </xf>
    <xf numFmtId="0" fontId="15" fillId="0" borderId="28" xfId="3" applyBorder="1" applyAlignment="1">
      <alignment vertical="center"/>
    </xf>
    <xf numFmtId="0" fontId="15" fillId="0" borderId="29" xfId="3" applyBorder="1" applyAlignment="1">
      <alignment vertical="center"/>
    </xf>
    <xf numFmtId="0" fontId="15" fillId="9" borderId="0" xfId="3" applyFill="1" applyAlignment="1">
      <alignment vertical="center"/>
    </xf>
    <xf numFmtId="2" fontId="15" fillId="9" borderId="30" xfId="3" applyNumberFormat="1" applyFill="1" applyBorder="1" applyAlignment="1">
      <alignment horizontal="center"/>
    </xf>
    <xf numFmtId="0" fontId="15" fillId="9" borderId="11" xfId="3" applyFill="1" applyBorder="1"/>
    <xf numFmtId="0" fontId="15" fillId="9" borderId="0" xfId="3" applyFill="1" applyAlignment="1">
      <alignment horizontal="right"/>
    </xf>
    <xf numFmtId="0" fontId="19" fillId="11" borderId="31" xfId="3" applyFont="1" applyFill="1" applyBorder="1" applyAlignment="1" applyProtection="1">
      <alignment horizontal="center" vertical="center" wrapText="1"/>
      <protection locked="0"/>
    </xf>
    <xf numFmtId="0" fontId="19" fillId="11" borderId="32" xfId="3" applyFont="1" applyFill="1" applyBorder="1" applyAlignment="1" applyProtection="1">
      <alignment horizontal="center" vertical="center" wrapText="1"/>
      <protection locked="0"/>
    </xf>
    <xf numFmtId="0" fontId="19" fillId="11" borderId="33" xfId="3" applyFont="1" applyFill="1" applyBorder="1" applyAlignment="1" applyProtection="1">
      <alignment horizontal="center" vertical="center" wrapText="1"/>
      <protection locked="0"/>
    </xf>
    <xf numFmtId="0" fontId="19" fillId="11" borderId="34" xfId="3" applyFont="1" applyFill="1" applyBorder="1" applyAlignment="1" applyProtection="1">
      <alignment horizontal="center" vertical="center" wrapText="1"/>
      <protection locked="0"/>
    </xf>
    <xf numFmtId="0" fontId="15" fillId="9" borderId="35" xfId="3" applyFill="1" applyBorder="1" applyAlignment="1">
      <alignment horizontal="right"/>
    </xf>
    <xf numFmtId="0" fontId="20" fillId="9" borderId="0" xfId="3" applyFont="1" applyFill="1"/>
    <xf numFmtId="0" fontId="2" fillId="0" borderId="0" xfId="0" applyFont="1"/>
    <xf numFmtId="0" fontId="0" fillId="4" borderId="43" xfId="0" applyFill="1" applyBorder="1"/>
    <xf numFmtId="0" fontId="0" fillId="4" borderId="40" xfId="0" applyFill="1" applyBorder="1"/>
    <xf numFmtId="0" fontId="0" fillId="4" borderId="41" xfId="0" applyFill="1" applyBorder="1"/>
    <xf numFmtId="0" fontId="13" fillId="4" borderId="38" xfId="0" applyFont="1" applyFill="1" applyBorder="1"/>
    <xf numFmtId="0" fontId="13" fillId="4" borderId="39" xfId="0" applyFont="1" applyFill="1" applyBorder="1"/>
    <xf numFmtId="0" fontId="0" fillId="4" borderId="49" xfId="0" applyFill="1" applyBorder="1"/>
    <xf numFmtId="0" fontId="0" fillId="8" borderId="0" xfId="0" applyFill="1"/>
    <xf numFmtId="0" fontId="0" fillId="8" borderId="37" xfId="0" applyFill="1" applyBorder="1"/>
    <xf numFmtId="0" fontId="0" fillId="8" borderId="40" xfId="0" applyFill="1" applyBorder="1"/>
    <xf numFmtId="0" fontId="0" fillId="8" borderId="41" xfId="0" applyFill="1" applyBorder="1"/>
    <xf numFmtId="0" fontId="13" fillId="8" borderId="37" xfId="0" applyFont="1" applyFill="1" applyBorder="1"/>
    <xf numFmtId="0" fontId="0" fillId="8" borderId="43" xfId="0" applyFill="1" applyBorder="1"/>
    <xf numFmtId="0" fontId="0" fillId="8" borderId="44" xfId="0" applyFill="1" applyBorder="1"/>
    <xf numFmtId="0" fontId="13" fillId="8" borderId="38" xfId="0" applyFont="1" applyFill="1" applyBorder="1"/>
    <xf numFmtId="0" fontId="0" fillId="8" borderId="46" xfId="0" applyFill="1" applyBorder="1"/>
    <xf numFmtId="0" fontId="13" fillId="8" borderId="39" xfId="0" applyFont="1" applyFill="1" applyBorder="1"/>
    <xf numFmtId="0" fontId="0" fillId="8" borderId="48" xfId="0" applyFill="1" applyBorder="1"/>
    <xf numFmtId="0" fontId="0" fillId="8" borderId="49" xfId="0" applyFill="1" applyBorder="1"/>
    <xf numFmtId="0" fontId="2" fillId="8" borderId="40" xfId="0" applyFont="1" applyFill="1" applyBorder="1"/>
    <xf numFmtId="0" fontId="2" fillId="8" borderId="41" xfId="0" applyFont="1" applyFill="1" applyBorder="1"/>
    <xf numFmtId="0" fontId="5" fillId="0" borderId="55" xfId="0" applyFont="1" applyBorder="1"/>
    <xf numFmtId="0" fontId="5" fillId="0" borderId="57" xfId="0" applyFont="1" applyBorder="1"/>
    <xf numFmtId="2" fontId="5" fillId="0" borderId="1" xfId="0" applyNumberFormat="1" applyFont="1" applyBorder="1"/>
    <xf numFmtId="10" fontId="0" fillId="0" borderId="0" xfId="0" applyNumberFormat="1"/>
    <xf numFmtId="2" fontId="5" fillId="0" borderId="58" xfId="0" applyNumberFormat="1" applyFont="1" applyBorder="1"/>
    <xf numFmtId="0" fontId="2" fillId="3" borderId="55" xfId="0" applyFont="1" applyFill="1" applyBorder="1" applyAlignment="1">
      <alignment horizontal="center"/>
    </xf>
    <xf numFmtId="0" fontId="2" fillId="3" borderId="1" xfId="0" applyFont="1" applyFill="1" applyBorder="1" applyAlignment="1">
      <alignment horizontal="center"/>
    </xf>
    <xf numFmtId="0" fontId="2" fillId="3" borderId="56" xfId="0" applyFont="1" applyFill="1" applyBorder="1" applyAlignment="1">
      <alignment horizontal="center"/>
    </xf>
    <xf numFmtId="0" fontId="25" fillId="13" borderId="59" xfId="0" applyFont="1" applyFill="1" applyBorder="1" applyAlignment="1">
      <alignment horizontal="center" vertical="center" wrapText="1"/>
    </xf>
    <xf numFmtId="49" fontId="26" fillId="0" borderId="59" xfId="0" applyNumberFormat="1" applyFont="1" applyBorder="1" applyAlignment="1">
      <alignment horizontal="center" vertical="center" wrapText="1"/>
    </xf>
    <xf numFmtId="166" fontId="27" fillId="0" borderId="59" xfId="0" applyNumberFormat="1" applyFont="1" applyBorder="1" applyAlignment="1">
      <alignment vertical="center" wrapText="1"/>
    </xf>
    <xf numFmtId="49" fontId="12" fillId="0" borderId="59" xfId="0" applyNumberFormat="1" applyFont="1" applyBorder="1" applyAlignment="1">
      <alignment horizontal="center" vertical="center" wrapText="1"/>
    </xf>
    <xf numFmtId="166" fontId="27" fillId="9" borderId="59" xfId="0" applyNumberFormat="1" applyFont="1" applyFill="1" applyBorder="1" applyAlignment="1">
      <alignment vertical="top" wrapText="1"/>
    </xf>
    <xf numFmtId="49" fontId="12" fillId="0" borderId="59" xfId="0" applyNumberFormat="1" applyFont="1" applyBorder="1" applyAlignment="1">
      <alignment horizontal="center" wrapText="1"/>
    </xf>
    <xf numFmtId="49" fontId="12" fillId="9" borderId="59" xfId="0" applyNumberFormat="1" applyFont="1" applyFill="1" applyBorder="1" applyAlignment="1">
      <alignment horizontal="center" wrapText="1"/>
    </xf>
    <xf numFmtId="0" fontId="12" fillId="0" borderId="59" xfId="0" applyFont="1" applyBorder="1"/>
    <xf numFmtId="0" fontId="0" fillId="0" borderId="0" xfId="0" applyAlignment="1">
      <alignment horizontal="center" vertical="center"/>
    </xf>
    <xf numFmtId="0" fontId="25" fillId="13" borderId="63" xfId="0" applyFont="1" applyFill="1" applyBorder="1" applyAlignment="1">
      <alignment horizontal="center" vertical="center" wrapText="1"/>
    </xf>
    <xf numFmtId="0" fontId="12" fillId="0" borderId="63" xfId="0" applyFont="1" applyBorder="1" applyAlignment="1">
      <alignment horizontal="center" vertical="center" wrapText="1"/>
    </xf>
    <xf numFmtId="0" fontId="25" fillId="13" borderId="64" xfId="0" applyFont="1" applyFill="1" applyBorder="1" applyAlignment="1">
      <alignment horizontal="center" vertical="center" wrapText="1"/>
    </xf>
    <xf numFmtId="0" fontId="12" fillId="14" borderId="64" xfId="0" applyFont="1" applyFill="1" applyBorder="1" applyAlignment="1">
      <alignment horizontal="center" vertical="center" textRotation="90" wrapText="1"/>
    </xf>
    <xf numFmtId="166" fontId="27" fillId="14" borderId="64" xfId="0" applyNumberFormat="1" applyFont="1" applyFill="1" applyBorder="1" applyAlignment="1">
      <alignment vertical="center" wrapText="1"/>
    </xf>
    <xf numFmtId="0" fontId="12" fillId="14" borderId="64" xfId="0" applyFont="1" applyFill="1" applyBorder="1"/>
    <xf numFmtId="166" fontId="27" fillId="0" borderId="64" xfId="0" applyNumberFormat="1" applyFont="1" applyBorder="1" applyAlignment="1">
      <alignment vertical="center" wrapText="1"/>
    </xf>
    <xf numFmtId="0" fontId="12" fillId="11" borderId="64" xfId="0" applyFont="1" applyFill="1" applyBorder="1"/>
    <xf numFmtId="166" fontId="27" fillId="11" borderId="64" xfId="0" applyNumberFormat="1" applyFont="1" applyFill="1" applyBorder="1" applyAlignment="1">
      <alignment vertical="center" wrapText="1"/>
    </xf>
    <xf numFmtId="166" fontId="27" fillId="9" borderId="64" xfId="0" applyNumberFormat="1" applyFont="1" applyFill="1" applyBorder="1" applyAlignment="1">
      <alignment vertical="center" wrapText="1"/>
    </xf>
    <xf numFmtId="0" fontId="12" fillId="0" borderId="64" xfId="0" applyFont="1" applyBorder="1"/>
    <xf numFmtId="0" fontId="25" fillId="13" borderId="65" xfId="0" applyFont="1" applyFill="1" applyBorder="1" applyAlignment="1">
      <alignment horizontal="center" vertical="center" wrapText="1"/>
    </xf>
    <xf numFmtId="4" fontId="12" fillId="0" borderId="66" xfId="0" applyNumberFormat="1" applyFont="1" applyBorder="1" applyAlignment="1">
      <alignment horizontal="center" vertical="center" wrapText="1"/>
    </xf>
    <xf numFmtId="2" fontId="11" fillId="0" borderId="1" xfId="0" applyNumberFormat="1" applyFont="1" applyBorder="1"/>
    <xf numFmtId="2" fontId="5" fillId="0" borderId="56" xfId="0" applyNumberFormat="1" applyFont="1" applyBorder="1"/>
    <xf numFmtId="2" fontId="11" fillId="0" borderId="58" xfId="0" applyNumberFormat="1" applyFont="1" applyBorder="1"/>
    <xf numFmtId="2" fontId="5" fillId="0" borderId="61" xfId="0" applyNumberFormat="1" applyFont="1" applyBorder="1"/>
    <xf numFmtId="2" fontId="5" fillId="0" borderId="36" xfId="0" applyNumberFormat="1" applyFont="1" applyBorder="1"/>
    <xf numFmtId="2" fontId="11" fillId="0" borderId="56" xfId="0" applyNumberFormat="1" applyFont="1" applyBorder="1"/>
    <xf numFmtId="2" fontId="5" fillId="0" borderId="62" xfId="0" applyNumberFormat="1" applyFont="1" applyBorder="1"/>
    <xf numFmtId="44" fontId="2" fillId="11" borderId="15" xfId="2" applyFont="1" applyFill="1" applyBorder="1"/>
    <xf numFmtId="44" fontId="2" fillId="0" borderId="15" xfId="2" applyFont="1" applyBorder="1"/>
    <xf numFmtId="0" fontId="0" fillId="0" borderId="6" xfId="0" applyBorder="1" applyAlignment="1" applyProtection="1">
      <alignment horizontal="center"/>
      <protection locked="0"/>
    </xf>
    <xf numFmtId="9" fontId="0" fillId="0" borderId="6" xfId="1" applyFont="1" applyBorder="1" applyAlignment="1" applyProtection="1">
      <alignment horizontal="center"/>
      <protection locked="0"/>
    </xf>
    <xf numFmtId="1" fontId="0" fillId="0" borderId="6" xfId="0" applyNumberFormat="1" applyBorder="1" applyAlignment="1" applyProtection="1">
      <alignment horizontal="center"/>
      <protection locked="0"/>
    </xf>
    <xf numFmtId="0" fontId="0" fillId="0" borderId="0" xfId="0" applyAlignment="1" applyProtection="1">
      <alignment vertical="center"/>
      <protection locked="0"/>
    </xf>
    <xf numFmtId="0" fontId="0" fillId="0" borderId="0" xfId="0" applyProtection="1">
      <protection locked="0"/>
    </xf>
    <xf numFmtId="0" fontId="7" fillId="0" borderId="0" xfId="0" applyFont="1" applyProtection="1">
      <protection locked="0"/>
    </xf>
    <xf numFmtId="0" fontId="0" fillId="0" borderId="0" xfId="0" applyAlignment="1" applyProtection="1">
      <alignment horizontal="center"/>
      <protection locked="0"/>
    </xf>
    <xf numFmtId="0" fontId="3" fillId="3" borderId="0" xfId="0" applyFont="1" applyFill="1" applyAlignment="1">
      <alignment horizontal="left" vertical="center"/>
    </xf>
    <xf numFmtId="0" fontId="0" fillId="3" borderId="0" xfId="0" applyFill="1" applyAlignment="1">
      <alignment vertical="center"/>
    </xf>
    <xf numFmtId="0" fontId="2" fillId="4" borderId="0" xfId="0" applyFont="1" applyFill="1" applyAlignment="1">
      <alignment horizontal="right" vertical="center"/>
    </xf>
    <xf numFmtId="0" fontId="1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top" wrapText="1"/>
    </xf>
    <xf numFmtId="1" fontId="23" fillId="0" borderId="0" xfId="0" applyNumberFormat="1" applyFont="1" applyProtection="1">
      <protection locked="0"/>
    </xf>
    <xf numFmtId="0" fontId="33" fillId="0" borderId="0" xfId="0" applyFont="1" applyProtection="1">
      <protection locked="0"/>
    </xf>
    <xf numFmtId="164" fontId="13" fillId="0" borderId="0" xfId="0" applyNumberFormat="1" applyFont="1"/>
    <xf numFmtId="0" fontId="33" fillId="0" borderId="0" xfId="0" applyFont="1"/>
    <xf numFmtId="0" fontId="33" fillId="0" borderId="0" xfId="0" applyFont="1" applyAlignment="1">
      <alignment vertical="center"/>
    </xf>
    <xf numFmtId="0" fontId="33" fillId="8" borderId="40" xfId="0" applyFont="1" applyFill="1" applyBorder="1" applyAlignment="1">
      <alignment vertical="center"/>
    </xf>
    <xf numFmtId="0" fontId="33" fillId="8" borderId="41" xfId="0" applyFont="1" applyFill="1" applyBorder="1" applyAlignment="1">
      <alignment vertical="center"/>
    </xf>
    <xf numFmtId="0" fontId="33" fillId="8" borderId="51" xfId="0" applyFont="1" applyFill="1" applyBorder="1" applyAlignment="1">
      <alignment horizontal="center"/>
    </xf>
    <xf numFmtId="0" fontId="33" fillId="8" borderId="42" xfId="0" applyFont="1" applyFill="1" applyBorder="1" applyAlignment="1">
      <alignment vertical="center"/>
    </xf>
    <xf numFmtId="0" fontId="37" fillId="3" borderId="6" xfId="0" applyFont="1" applyFill="1" applyBorder="1" applyAlignment="1">
      <alignment horizontal="center"/>
    </xf>
    <xf numFmtId="0" fontId="36" fillId="0" borderId="0" xfId="0" applyFont="1"/>
    <xf numFmtId="44" fontId="38" fillId="0" borderId="0" xfId="0" applyNumberFormat="1" applyFont="1"/>
    <xf numFmtId="0" fontId="38" fillId="0" borderId="0" xfId="0" applyFont="1"/>
    <xf numFmtId="44" fontId="39" fillId="0" borderId="0" xfId="0" applyNumberFormat="1" applyFont="1"/>
    <xf numFmtId="44" fontId="0" fillId="0" borderId="78" xfId="0" applyNumberFormat="1" applyBorder="1"/>
    <xf numFmtId="0" fontId="0" fillId="0" borderId="78" xfId="0" applyBorder="1"/>
    <xf numFmtId="0" fontId="0" fillId="0" borderId="79" xfId="0" applyBorder="1"/>
    <xf numFmtId="0" fontId="0" fillId="0" borderId="44" xfId="0" applyBorder="1" applyAlignment="1">
      <alignment horizontal="right"/>
    </xf>
    <xf numFmtId="0" fontId="0" fillId="0" borderId="45" xfId="0" applyBorder="1"/>
    <xf numFmtId="0" fontId="0" fillId="0" borderId="81" xfId="0" applyBorder="1" applyAlignment="1">
      <alignment horizontal="center" vertical="center" wrapText="1"/>
    </xf>
    <xf numFmtId="0" fontId="0" fillId="0" borderId="81" xfId="0" applyBorder="1" applyAlignment="1">
      <alignment horizontal="center" vertical="center"/>
    </xf>
    <xf numFmtId="0" fontId="0" fillId="0" borderId="0" xfId="0" applyAlignment="1">
      <alignment horizontal="right" vertical="center"/>
    </xf>
    <xf numFmtId="0" fontId="0" fillId="0" borderId="47" xfId="0" applyBorder="1"/>
    <xf numFmtId="10" fontId="0" fillId="0" borderId="81" xfId="0" applyNumberFormat="1" applyBorder="1" applyAlignment="1">
      <alignment horizontal="center" vertical="center"/>
    </xf>
    <xf numFmtId="166" fontId="0" fillId="0" borderId="81" xfId="0" applyNumberFormat="1" applyBorder="1"/>
    <xf numFmtId="166" fontId="0" fillId="18" borderId="81" xfId="0" applyNumberFormat="1" applyFill="1" applyBorder="1"/>
    <xf numFmtId="0" fontId="0" fillId="0" borderId="0" xfId="0" applyAlignment="1">
      <alignment horizontal="right"/>
    </xf>
    <xf numFmtId="166" fontId="0" fillId="9" borderId="81" xfId="0" applyNumberFormat="1" applyFill="1" applyBorder="1"/>
    <xf numFmtId="44" fontId="0" fillId="0" borderId="47" xfId="0" applyNumberFormat="1" applyBorder="1"/>
    <xf numFmtId="0" fontId="0" fillId="20" borderId="0" xfId="0" applyFill="1"/>
    <xf numFmtId="0" fontId="0" fillId="8" borderId="0" xfId="0" applyFill="1" applyAlignment="1">
      <alignment horizontal="right"/>
    </xf>
    <xf numFmtId="44" fontId="0" fillId="8" borderId="47" xfId="0" applyNumberFormat="1" applyFill="1" applyBorder="1"/>
    <xf numFmtId="0" fontId="0" fillId="0" borderId="82" xfId="0" applyBorder="1" applyAlignment="1">
      <alignment horizontal="center" vertical="center" wrapText="1"/>
    </xf>
    <xf numFmtId="10" fontId="0" fillId="0" borderId="82" xfId="0" applyNumberFormat="1" applyBorder="1" applyAlignment="1">
      <alignment horizontal="center" vertical="center"/>
    </xf>
    <xf numFmtId="166" fontId="0" fillId="0" borderId="82" xfId="0" applyNumberFormat="1" applyBorder="1"/>
    <xf numFmtId="166" fontId="0" fillId="0" borderId="83" xfId="0" applyNumberFormat="1" applyBorder="1"/>
    <xf numFmtId="44" fontId="1" fillId="0" borderId="86" xfId="2" applyFont="1" applyBorder="1"/>
    <xf numFmtId="0" fontId="0" fillId="0" borderId="81" xfId="0" applyBorder="1"/>
    <xf numFmtId="44" fontId="1" fillId="0" borderId="92" xfId="2" applyFont="1" applyBorder="1"/>
    <xf numFmtId="0" fontId="0" fillId="0" borderId="49" xfId="0" applyBorder="1"/>
    <xf numFmtId="0" fontId="0" fillId="0" borderId="50" xfId="0" applyBorder="1"/>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21" borderId="0" xfId="0" applyFill="1" applyAlignment="1" applyProtection="1">
      <alignment horizontal="center" vertical="center" wrapText="1"/>
      <protection hidden="1"/>
    </xf>
    <xf numFmtId="0" fontId="41" fillId="21"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31" fillId="0" borderId="0" xfId="0" applyFont="1" applyProtection="1">
      <protection locked="0"/>
    </xf>
    <xf numFmtId="44" fontId="31" fillId="0" borderId="0" xfId="2" applyFont="1" applyProtection="1">
      <protection locked="0"/>
    </xf>
    <xf numFmtId="0" fontId="31" fillId="0" borderId="0" xfId="0" applyFont="1" applyAlignment="1" applyProtection="1">
      <alignment horizontal="center"/>
      <protection locked="0"/>
    </xf>
    <xf numFmtId="44" fontId="1" fillId="0" borderId="0" xfId="2" applyFont="1" applyProtection="1">
      <protection hidden="1"/>
    </xf>
    <xf numFmtId="0" fontId="0" fillId="0" borderId="0" xfId="0" applyProtection="1">
      <protection hidden="1"/>
    </xf>
    <xf numFmtId="44" fontId="0" fillId="0" borderId="0" xfId="0" applyNumberFormat="1" applyProtection="1">
      <protection hidden="1"/>
    </xf>
    <xf numFmtId="44" fontId="2" fillId="22" borderId="0" xfId="0" applyNumberFormat="1" applyFont="1" applyFill="1" applyProtection="1">
      <protection hidden="1"/>
    </xf>
    <xf numFmtId="44" fontId="2" fillId="0" borderId="0" xfId="0" applyNumberFormat="1" applyFont="1" applyProtection="1">
      <protection hidden="1"/>
    </xf>
    <xf numFmtId="0" fontId="0" fillId="0" borderId="0" xfId="0" applyAlignment="1" applyProtection="1">
      <alignment wrapText="1"/>
      <protection locked="0"/>
    </xf>
    <xf numFmtId="0" fontId="0" fillId="0" borderId="0" xfId="0" applyAlignment="1" applyProtection="1">
      <alignment wrapText="1"/>
      <protection hidden="1"/>
    </xf>
    <xf numFmtId="0" fontId="2" fillId="0" borderId="0" xfId="0" applyFont="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protection hidden="1"/>
    </xf>
    <xf numFmtId="0" fontId="48" fillId="0" borderId="0" xfId="0" applyFont="1" applyAlignment="1" applyProtection="1">
      <alignment horizontal="left"/>
      <protection hidden="1"/>
    </xf>
    <xf numFmtId="0" fontId="49" fillId="0" borderId="0" xfId="0" applyFont="1" applyAlignment="1" applyProtection="1">
      <alignment horizontal="center"/>
      <protection hidden="1"/>
    </xf>
    <xf numFmtId="0" fontId="49" fillId="0" borderId="0" xfId="0" applyFont="1" applyAlignment="1" applyProtection="1">
      <alignment horizontal="left"/>
      <protection hidden="1"/>
    </xf>
    <xf numFmtId="0" fontId="14" fillId="0" borderId="0" xfId="0" applyFont="1" applyProtection="1">
      <protection hidden="1"/>
    </xf>
    <xf numFmtId="0" fontId="5" fillId="0" borderId="0" xfId="0" applyFont="1" applyProtection="1">
      <protection hidden="1"/>
    </xf>
    <xf numFmtId="0" fontId="11" fillId="7" borderId="7" xfId="0" applyFont="1" applyFill="1" applyBorder="1" applyAlignment="1">
      <alignment horizontal="center" vertical="center"/>
    </xf>
    <xf numFmtId="0" fontId="47" fillId="7" borderId="0" xfId="0" applyFont="1" applyFill="1" applyProtection="1">
      <protection hidden="1"/>
    </xf>
    <xf numFmtId="0" fontId="2" fillId="0" borderId="0" xfId="0" applyFont="1" applyAlignment="1">
      <alignment vertical="center"/>
    </xf>
    <xf numFmtId="0" fontId="3" fillId="4" borderId="43" xfId="0" applyFont="1" applyFill="1" applyBorder="1" applyAlignment="1" applyProtection="1">
      <alignment vertical="center" wrapText="1"/>
      <protection hidden="1"/>
    </xf>
    <xf numFmtId="0" fontId="2" fillId="0" borderId="99" xfId="0" applyFont="1" applyBorder="1" applyAlignment="1" applyProtection="1">
      <alignment horizontal="center" vertical="center" wrapText="1"/>
      <protection hidden="1"/>
    </xf>
    <xf numFmtId="0" fontId="0" fillId="0" borderId="0" xfId="0" applyAlignment="1" applyProtection="1">
      <alignment vertical="top" wrapText="1"/>
      <protection hidden="1"/>
    </xf>
    <xf numFmtId="0" fontId="56" fillId="0" borderId="44" xfId="8" applyFont="1" applyFill="1" applyBorder="1" applyAlignment="1" applyProtection="1">
      <alignment horizontal="center" vertical="center"/>
      <protection hidden="1"/>
    </xf>
    <xf numFmtId="0" fontId="56" fillId="0" borderId="45" xfId="8" applyFont="1" applyFill="1" applyBorder="1" applyAlignment="1" applyProtection="1">
      <alignment horizontal="center" vertical="center"/>
      <protection hidden="1"/>
    </xf>
    <xf numFmtId="0" fontId="29" fillId="0" borderId="0" xfId="8" applyFont="1" applyBorder="1" applyAlignment="1" applyProtection="1">
      <alignment horizontal="right" vertical="top" wrapText="1"/>
      <protection hidden="1"/>
    </xf>
    <xf numFmtId="0" fontId="0" fillId="0" borderId="0" xfId="0" applyAlignment="1">
      <alignment vertical="center" wrapText="1"/>
    </xf>
    <xf numFmtId="0" fontId="56" fillId="0" borderId="47" xfId="8" applyFont="1" applyFill="1" applyBorder="1" applyAlignment="1" applyProtection="1">
      <alignment horizontal="center" vertical="center"/>
      <protection hidden="1"/>
    </xf>
    <xf numFmtId="0" fontId="0" fillId="0" borderId="0" xfId="0" applyAlignment="1">
      <alignment horizontal="left" vertical="center" wrapText="1"/>
    </xf>
    <xf numFmtId="0" fontId="29" fillId="0" borderId="0" xfId="8" applyFont="1" applyFill="1" applyBorder="1" applyAlignment="1" applyProtection="1">
      <alignment horizontal="right" vertical="top" wrapText="1"/>
      <protection hidden="1"/>
    </xf>
    <xf numFmtId="0" fontId="0" fillId="0" borderId="0" xfId="0" applyAlignment="1" applyProtection="1">
      <alignment vertical="center"/>
      <protection hidden="1"/>
    </xf>
    <xf numFmtId="0" fontId="51" fillId="0" borderId="49" xfId="0" applyFont="1" applyBorder="1" applyAlignment="1" applyProtection="1">
      <alignment vertical="top" wrapText="1"/>
      <protection hidden="1"/>
    </xf>
    <xf numFmtId="0" fontId="23" fillId="0" borderId="0" xfId="0" applyFont="1" applyAlignment="1" applyProtection="1">
      <alignment horizontal="center" vertical="center" wrapText="1"/>
      <protection hidden="1"/>
    </xf>
    <xf numFmtId="0" fontId="0" fillId="0" borderId="0" xfId="0" applyAlignment="1">
      <alignment wrapText="1"/>
    </xf>
    <xf numFmtId="0" fontId="2" fillId="0" borderId="0" xfId="0" applyFont="1" applyAlignment="1">
      <alignment wrapText="1"/>
    </xf>
    <xf numFmtId="0" fontId="76" fillId="0" borderId="0" xfId="8" applyFont="1" applyBorder="1" applyAlignment="1">
      <alignment vertical="center"/>
    </xf>
    <xf numFmtId="0" fontId="56" fillId="0" borderId="0" xfId="8" applyFont="1" applyBorder="1" applyAlignment="1">
      <alignment vertical="center"/>
    </xf>
    <xf numFmtId="0" fontId="40" fillId="24" borderId="97" xfId="0" applyFont="1" applyFill="1" applyBorder="1" applyAlignment="1">
      <alignment horizontal="center" vertical="center" wrapText="1"/>
    </xf>
    <xf numFmtId="0" fontId="0" fillId="25" borderId="98" xfId="0" applyFill="1" applyBorder="1"/>
    <xf numFmtId="0" fontId="0" fillId="26" borderId="98" xfId="0" applyFill="1" applyBorder="1"/>
    <xf numFmtId="0" fontId="2" fillId="22" borderId="0" xfId="0" applyFont="1" applyFill="1" applyAlignment="1" applyProtection="1">
      <alignment horizontal="center" vertical="center" wrapText="1"/>
      <protection hidden="1"/>
    </xf>
    <xf numFmtId="164" fontId="0" fillId="0" borderId="1" xfId="0" applyNumberFormat="1" applyBorder="1" applyProtection="1">
      <protection hidden="1"/>
    </xf>
    <xf numFmtId="164" fontId="2" fillId="0" borderId="1" xfId="0" applyNumberFormat="1" applyFont="1" applyBorder="1" applyProtection="1">
      <protection hidden="1"/>
    </xf>
    <xf numFmtId="2" fontId="5" fillId="0" borderId="60" xfId="0" applyNumberFormat="1" applyFont="1" applyBorder="1"/>
    <xf numFmtId="0" fontId="2" fillId="0" borderId="0" xfId="0" applyFont="1" applyAlignment="1">
      <alignment horizontal="center" vertical="center"/>
    </xf>
    <xf numFmtId="14" fontId="0" fillId="0" borderId="0" xfId="0" applyNumberFormat="1"/>
    <xf numFmtId="0" fontId="2" fillId="4" borderId="0" xfId="0" applyFont="1" applyFill="1" applyAlignment="1">
      <alignment horizontal="right" vertical="top"/>
    </xf>
    <xf numFmtId="0" fontId="76" fillId="0" borderId="0" xfId="8" applyFont="1" applyBorder="1" applyAlignment="1">
      <alignment vertical="center" wrapText="1"/>
    </xf>
    <xf numFmtId="0" fontId="56" fillId="0" borderId="0" xfId="8" applyFont="1" applyBorder="1" applyAlignment="1">
      <alignment vertical="center" wrapText="1"/>
    </xf>
    <xf numFmtId="0" fontId="78" fillId="0" borderId="0" xfId="8" applyFont="1" applyBorder="1" applyAlignment="1">
      <alignment vertical="center"/>
    </xf>
    <xf numFmtId="0" fontId="20" fillId="0" borderId="0" xfId="0" applyFont="1" applyAlignment="1">
      <alignment horizontal="right" vertical="center"/>
    </xf>
    <xf numFmtId="0" fontId="20" fillId="4" borderId="0" xfId="0" applyFont="1" applyFill="1" applyAlignment="1">
      <alignment horizontal="right" vertical="center"/>
    </xf>
    <xf numFmtId="0" fontId="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6" fillId="0" borderId="71" xfId="0" applyFont="1" applyBorder="1" applyAlignment="1">
      <alignment vertical="center" wrapText="1"/>
    </xf>
    <xf numFmtId="0" fontId="6" fillId="0" borderId="72" xfId="0" applyFont="1" applyBorder="1" applyAlignment="1">
      <alignment vertical="center" wrapText="1"/>
    </xf>
    <xf numFmtId="0" fontId="33" fillId="0" borderId="0" xfId="0" applyFont="1" applyAlignment="1" applyProtection="1">
      <alignment vertical="center"/>
      <protection locked="0"/>
    </xf>
    <xf numFmtId="9" fontId="6" fillId="0" borderId="1" xfId="1" applyFont="1" applyBorder="1" applyAlignment="1" applyProtection="1">
      <alignment horizontal="center" vertical="center"/>
      <protection locked="0"/>
    </xf>
    <xf numFmtId="9" fontId="6" fillId="0" borderId="1" xfId="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0" fillId="0" borderId="45" xfId="0" applyBorder="1" applyAlignment="1">
      <alignment horizontal="center"/>
    </xf>
    <xf numFmtId="0" fontId="0" fillId="0" borderId="79" xfId="0" applyBorder="1" applyAlignment="1">
      <alignment horizontal="center"/>
    </xf>
    <xf numFmtId="0" fontId="40" fillId="23" borderId="96" xfId="0" applyFont="1" applyFill="1" applyBorder="1"/>
    <xf numFmtId="0" fontId="79" fillId="0" borderId="0" xfId="0" applyFont="1" applyAlignment="1" applyProtection="1">
      <alignment vertical="top" wrapText="1"/>
      <protection locked="0"/>
    </xf>
    <xf numFmtId="0" fontId="0" fillId="8" borderId="0" xfId="0" applyFill="1" applyProtection="1">
      <protection locked="0"/>
    </xf>
    <xf numFmtId="0" fontId="0" fillId="8" borderId="41" xfId="0" applyFill="1" applyBorder="1" applyProtection="1">
      <protection locked="0"/>
    </xf>
    <xf numFmtId="0" fontId="0" fillId="0" borderId="41" xfId="0" applyBorder="1" applyProtection="1">
      <protection locked="0"/>
    </xf>
    <xf numFmtId="0" fontId="0" fillId="0" borderId="42" xfId="0" applyBorder="1" applyProtection="1">
      <protection locked="0"/>
    </xf>
    <xf numFmtId="0" fontId="0" fillId="8" borderId="44" xfId="0" applyFill="1"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7" xfId="0" applyBorder="1" applyProtection="1">
      <protection locked="0"/>
    </xf>
    <xf numFmtId="0" fontId="0" fillId="8" borderId="49" xfId="0" applyFill="1" applyBorder="1" applyProtection="1">
      <protection locked="0"/>
    </xf>
    <xf numFmtId="0" fontId="0" fillId="0" borderId="49" xfId="0" applyBorder="1" applyProtection="1">
      <protection locked="0"/>
    </xf>
    <xf numFmtId="0" fontId="0" fillId="0" borderId="50" xfId="0" applyBorder="1" applyProtection="1">
      <protection locked="0"/>
    </xf>
    <xf numFmtId="0" fontId="2" fillId="8" borderId="41" xfId="0" applyFont="1" applyFill="1" applyBorder="1" applyProtection="1">
      <protection locked="0"/>
    </xf>
    <xf numFmtId="0" fontId="2" fillId="0" borderId="41" xfId="0" applyFont="1" applyBorder="1" applyProtection="1">
      <protection locked="0"/>
    </xf>
    <xf numFmtId="0" fontId="2" fillId="0" borderId="42" xfId="0" applyFont="1" applyBorder="1" applyProtection="1">
      <protection locked="0"/>
    </xf>
    <xf numFmtId="0" fontId="0" fillId="4" borderId="42" xfId="0" applyFill="1" applyBorder="1" applyProtection="1">
      <protection locked="0"/>
    </xf>
    <xf numFmtId="0" fontId="0" fillId="4" borderId="47" xfId="0" applyFill="1" applyBorder="1" applyProtection="1">
      <protection locked="0"/>
    </xf>
    <xf numFmtId="0" fontId="0" fillId="4" borderId="50" xfId="0" applyFill="1" applyBorder="1" applyProtection="1">
      <protection locked="0"/>
    </xf>
    <xf numFmtId="0" fontId="0" fillId="3" borderId="0" xfId="0" applyFill="1" applyAlignment="1" applyProtection="1">
      <alignment vertical="center"/>
      <protection locked="0"/>
    </xf>
    <xf numFmtId="0" fontId="0" fillId="2" borderId="0" xfId="0" applyFill="1" applyAlignment="1" applyProtection="1">
      <alignment vertical="center"/>
      <protection locked="0"/>
    </xf>
    <xf numFmtId="0" fontId="52" fillId="0" borderId="100" xfId="0" applyFont="1" applyBorder="1" applyAlignment="1" applyProtection="1">
      <alignment horizontal="left" vertical="top" wrapText="1"/>
      <protection hidden="1"/>
    </xf>
    <xf numFmtId="0" fontId="52" fillId="0" borderId="99" xfId="0" applyFont="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1" fillId="0" borderId="0" xfId="0" applyFont="1" applyAlignment="1" applyProtection="1">
      <alignment vertical="top" wrapText="1"/>
      <protection hidden="1"/>
    </xf>
    <xf numFmtId="0" fontId="84" fillId="0" borderId="0" xfId="8" applyFont="1" applyFill="1" applyBorder="1" applyAlignment="1" applyProtection="1">
      <alignment horizontal="center" vertical="center"/>
      <protection hidden="1"/>
    </xf>
    <xf numFmtId="0" fontId="51" fillId="0" borderId="0" xfId="0" applyFont="1" applyAlignment="1" applyProtection="1">
      <alignment vertical="center" wrapText="1"/>
      <protection locked="0" hidden="1"/>
    </xf>
    <xf numFmtId="0" fontId="0" fillId="0" borderId="0" xfId="0" applyAlignment="1" applyProtection="1">
      <alignment vertical="center" wrapText="1"/>
      <protection locked="0" hidden="1"/>
    </xf>
    <xf numFmtId="0" fontId="51"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0" fillId="0" borderId="0" xfId="0" applyAlignment="1" applyProtection="1">
      <alignment horizontal="left" vertical="top" wrapText="1"/>
      <protection locked="0" hidden="1"/>
    </xf>
    <xf numFmtId="0" fontId="23" fillId="0" borderId="0" xfId="0" applyFont="1" applyAlignment="1">
      <alignment horizontal="left" vertical="center"/>
    </xf>
    <xf numFmtId="0" fontId="5" fillId="4" borderId="75" xfId="0" applyFont="1" applyFill="1" applyBorder="1" applyAlignment="1">
      <alignment horizontal="center"/>
    </xf>
    <xf numFmtId="0" fontId="2" fillId="0" borderId="0" xfId="0" applyFont="1" applyAlignment="1">
      <alignment horizontal="right"/>
    </xf>
    <xf numFmtId="0" fontId="19" fillId="0" borderId="0" xfId="3" applyFont="1" applyAlignment="1">
      <alignment vertical="center"/>
    </xf>
    <xf numFmtId="0" fontId="12" fillId="0" borderId="1" xfId="0" applyFont="1" applyBorder="1" applyAlignment="1">
      <alignment horizontal="center" vertical="center"/>
    </xf>
    <xf numFmtId="164" fontId="85" fillId="0" borderId="1" xfId="0" applyNumberFormat="1" applyFont="1" applyBorder="1" applyAlignment="1">
      <alignment horizontal="center" vertical="center"/>
    </xf>
    <xf numFmtId="0" fontId="2" fillId="0" borderId="1" xfId="0" applyFont="1" applyBorder="1" applyAlignment="1">
      <alignment horizontal="center" vertical="center"/>
    </xf>
    <xf numFmtId="49" fontId="0" fillId="0" borderId="0" xfId="0" applyNumberFormat="1" applyAlignment="1">
      <alignment horizontal="center"/>
    </xf>
    <xf numFmtId="49" fontId="12" fillId="0" borderId="117" xfId="0" applyNumberFormat="1" applyFont="1" applyBorder="1" applyAlignment="1">
      <alignment horizontal="center" wrapText="1"/>
    </xf>
    <xf numFmtId="0" fontId="12" fillId="0" borderId="118" xfId="0" applyFont="1" applyBorder="1" applyAlignment="1">
      <alignment horizontal="center" vertical="center" wrapText="1"/>
    </xf>
    <xf numFmtId="4" fontId="12" fillId="0" borderId="119" xfId="0" applyNumberFormat="1" applyFont="1" applyBorder="1" applyAlignment="1">
      <alignment horizontal="center" vertical="center" wrapText="1"/>
    </xf>
    <xf numFmtId="0" fontId="12" fillId="0" borderId="120" xfId="0" applyFont="1" applyBorder="1"/>
    <xf numFmtId="166" fontId="27" fillId="9" borderId="117" xfId="0" applyNumberFormat="1" applyFont="1" applyFill="1" applyBorder="1" applyAlignment="1">
      <alignment vertical="top" wrapText="1"/>
    </xf>
    <xf numFmtId="49" fontId="0" fillId="0" borderId="121" xfId="0" applyNumberFormat="1" applyBorder="1" applyAlignment="1">
      <alignment horizontal="center"/>
    </xf>
    <xf numFmtId="0" fontId="6" fillId="0" borderId="1" xfId="0" applyFont="1" applyBorder="1"/>
    <xf numFmtId="0" fontId="12" fillId="28" borderId="1" xfId="0" applyFont="1" applyFill="1" applyBorder="1" applyAlignment="1">
      <alignment horizontal="center" vertical="center" wrapText="1"/>
    </xf>
    <xf numFmtId="0" fontId="6" fillId="0" borderId="1" xfId="0" applyFont="1" applyBorder="1" applyProtection="1">
      <protection locked="0"/>
    </xf>
    <xf numFmtId="0" fontId="6" fillId="28" borderId="1" xfId="0" applyFont="1" applyFill="1" applyBorder="1" applyAlignment="1">
      <alignment horizontal="center" wrapText="1"/>
    </xf>
    <xf numFmtId="0" fontId="86" fillId="0" borderId="0" xfId="0" applyFont="1"/>
    <xf numFmtId="0" fontId="2" fillId="3" borderId="1" xfId="0" applyFont="1" applyFill="1" applyBorder="1"/>
    <xf numFmtId="0" fontId="0" fillId="3" borderId="1" xfId="0" applyFill="1" applyBorder="1"/>
    <xf numFmtId="0" fontId="33" fillId="0" borderId="0" xfId="0" applyFont="1" applyAlignment="1">
      <alignment vertical="top" wrapText="1"/>
    </xf>
    <xf numFmtId="0" fontId="33" fillId="0" borderId="0" xfId="0" applyFont="1" applyAlignment="1" applyProtection="1">
      <alignment vertical="top" wrapText="1"/>
      <protection locked="0"/>
    </xf>
    <xf numFmtId="0" fontId="33" fillId="8" borderId="0" xfId="0" applyFont="1" applyFill="1" applyAlignment="1" applyProtection="1">
      <alignment vertical="top" wrapText="1"/>
      <protection locked="0"/>
    </xf>
    <xf numFmtId="0" fontId="33" fillId="8" borderId="41" xfId="0" applyFont="1" applyFill="1" applyBorder="1" applyAlignment="1" applyProtection="1">
      <alignment vertical="top" wrapText="1"/>
      <protection locked="0"/>
    </xf>
    <xf numFmtId="0" fontId="33" fillId="8" borderId="44" xfId="0" applyFont="1" applyFill="1" applyBorder="1" applyAlignment="1" applyProtection="1">
      <alignment vertical="top" wrapText="1"/>
      <protection locked="0"/>
    </xf>
    <xf numFmtId="0" fontId="33" fillId="8" borderId="49" xfId="0" applyFont="1" applyFill="1" applyBorder="1" applyAlignment="1" applyProtection="1">
      <alignment vertical="top" wrapText="1"/>
      <protection locked="0"/>
    </xf>
    <xf numFmtId="0" fontId="36" fillId="8" borderId="41" xfId="0" applyFont="1" applyFill="1" applyBorder="1" applyAlignment="1" applyProtection="1">
      <alignment vertical="top" wrapText="1"/>
      <protection locked="0"/>
    </xf>
    <xf numFmtId="0" fontId="36" fillId="0" borderId="0" xfId="0" applyFont="1" applyAlignment="1">
      <alignment vertical="center"/>
    </xf>
    <xf numFmtId="0" fontId="14" fillId="0" borderId="0" xfId="0" applyFont="1" applyAlignment="1">
      <alignment vertical="top"/>
    </xf>
    <xf numFmtId="0" fontId="11" fillId="7" borderId="0" xfId="0" applyFont="1" applyFill="1" applyAlignment="1">
      <alignment horizontal="center" vertical="center" textRotation="90"/>
    </xf>
    <xf numFmtId="44" fontId="6" fillId="0" borderId="0" xfId="0" applyNumberFormat="1" applyFont="1" applyProtection="1">
      <protection hidden="1"/>
    </xf>
    <xf numFmtId="0" fontId="11" fillId="7" borderId="7" xfId="0" applyFont="1" applyFill="1" applyBorder="1" applyAlignment="1" applyProtection="1">
      <alignment horizontal="center" vertical="center" wrapText="1"/>
      <protection hidden="1"/>
    </xf>
    <xf numFmtId="9" fontId="6" fillId="0" borderId="1" xfId="1" applyFont="1" applyBorder="1" applyAlignment="1" applyProtection="1">
      <alignment horizontal="center" vertical="center"/>
      <protection locked="0" hidden="1"/>
    </xf>
    <xf numFmtId="0" fontId="0" fillId="0" borderId="0" xfId="0" applyAlignment="1" applyProtection="1">
      <alignment horizontal="center" vertical="center"/>
      <protection hidden="1"/>
    </xf>
    <xf numFmtId="0" fontId="33" fillId="0" borderId="0" xfId="0" applyFont="1" applyAlignment="1" applyProtection="1">
      <alignment vertical="center"/>
      <protection hidden="1"/>
    </xf>
    <xf numFmtId="0" fontId="2" fillId="3" borderId="6" xfId="0" applyFont="1" applyFill="1" applyBorder="1" applyAlignment="1" applyProtection="1">
      <alignment horizontal="center"/>
      <protection hidden="1"/>
    </xf>
    <xf numFmtId="0" fontId="2" fillId="3" borderId="75" xfId="0" applyFont="1" applyFill="1" applyBorder="1" applyAlignment="1" applyProtection="1">
      <alignment horizontal="center"/>
      <protection hidden="1"/>
    </xf>
    <xf numFmtId="0" fontId="11" fillId="3" borderId="110"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1" fillId="3" borderId="111" xfId="0" applyFont="1" applyFill="1" applyBorder="1" applyAlignment="1" applyProtection="1">
      <alignment horizontal="center"/>
      <protection hidden="1"/>
    </xf>
    <xf numFmtId="0" fontId="11" fillId="7" borderId="76" xfId="0" applyFont="1" applyFill="1" applyBorder="1" applyAlignment="1" applyProtection="1">
      <alignment horizontal="center"/>
      <protection hidden="1"/>
    </xf>
    <xf numFmtId="0" fontId="33" fillId="0" borderId="0" xfId="0" applyFont="1" applyProtection="1">
      <protection hidden="1"/>
    </xf>
    <xf numFmtId="0" fontId="5" fillId="2" borderId="11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5" fillId="4" borderId="111" xfId="0" applyFont="1" applyFill="1" applyBorder="1" applyAlignment="1" applyProtection="1">
      <alignment horizontal="center"/>
      <protection hidden="1"/>
    </xf>
    <xf numFmtId="0" fontId="5" fillId="4" borderId="110" xfId="0" applyFont="1" applyFill="1" applyBorder="1" applyAlignment="1" applyProtection="1">
      <alignment horizontal="center"/>
      <protection hidden="1"/>
    </xf>
    <xf numFmtId="0" fontId="5" fillId="2" borderId="111" xfId="0" applyFont="1" applyFill="1" applyBorder="1" applyAlignment="1" applyProtection="1">
      <alignment horizontal="center"/>
      <protection hidden="1"/>
    </xf>
    <xf numFmtId="0" fontId="87" fillId="7" borderId="76" xfId="0" applyFont="1" applyFill="1" applyBorder="1" applyAlignment="1" applyProtection="1">
      <alignment horizontal="center"/>
      <protection hidden="1"/>
    </xf>
    <xf numFmtId="0" fontId="87" fillId="7" borderId="7" xfId="0" applyFont="1" applyFill="1" applyBorder="1" applyAlignment="1" applyProtection="1">
      <alignment horizontal="center"/>
      <protection hidden="1"/>
    </xf>
    <xf numFmtId="0" fontId="11" fillId="3" borderId="67" xfId="0" applyFont="1" applyFill="1" applyBorder="1" applyAlignment="1" applyProtection="1">
      <alignment horizontal="center"/>
      <protection hidden="1"/>
    </xf>
    <xf numFmtId="0" fontId="0" fillId="0" borderId="6" xfId="0" applyBorder="1" applyAlignment="1" applyProtection="1">
      <alignment horizontal="center"/>
      <protection hidden="1"/>
    </xf>
    <xf numFmtId="0" fontId="31" fillId="0" borderId="6" xfId="0" applyFont="1" applyBorder="1" applyAlignment="1" applyProtection="1">
      <alignment horizontal="center"/>
      <protection locked="0" hidden="1"/>
    </xf>
    <xf numFmtId="9" fontId="31" fillId="0" borderId="6" xfId="1" applyFont="1" applyBorder="1" applyAlignment="1" applyProtection="1">
      <alignment horizontal="center"/>
      <protection locked="0" hidden="1"/>
    </xf>
    <xf numFmtId="1" fontId="0" fillId="0" borderId="6" xfId="0" applyNumberFormat="1" applyBorder="1" applyAlignment="1" applyProtection="1">
      <alignment horizontal="center"/>
      <protection hidden="1"/>
    </xf>
    <xf numFmtId="164" fontId="0" fillId="0" borderId="75" xfId="0" applyNumberFormat="1" applyBorder="1" applyAlignment="1" applyProtection="1">
      <alignment horizontal="center"/>
      <protection hidden="1"/>
    </xf>
    <xf numFmtId="0" fontId="6" fillId="0" borderId="1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6" fillId="0" borderId="111" xfId="0" applyFont="1" applyBorder="1" applyAlignment="1" applyProtection="1">
      <alignment horizontal="center"/>
      <protection hidden="1"/>
    </xf>
    <xf numFmtId="2" fontId="32" fillId="0" borderId="67" xfId="0" applyNumberFormat="1" applyFont="1" applyBorder="1" applyAlignment="1" applyProtection="1">
      <alignment horizontal="center"/>
      <protection locked="0" hidden="1"/>
    </xf>
    <xf numFmtId="2" fontId="32" fillId="0" borderId="6" xfId="0" applyNumberFormat="1" applyFont="1" applyBorder="1" applyAlignment="1" applyProtection="1">
      <alignment horizontal="center"/>
      <protection locked="0" hidden="1"/>
    </xf>
    <xf numFmtId="164" fontId="0" fillId="0" borderId="67" xfId="0" applyNumberFormat="1" applyBorder="1" applyAlignment="1" applyProtection="1">
      <alignment horizontal="center"/>
      <protection hidden="1"/>
    </xf>
    <xf numFmtId="0" fontId="23" fillId="0" borderId="6" xfId="0" applyFont="1" applyBorder="1" applyProtection="1">
      <protection hidden="1"/>
    </xf>
    <xf numFmtId="1" fontId="31" fillId="0" borderId="6" xfId="0" applyNumberFormat="1" applyFont="1" applyBorder="1" applyAlignment="1" applyProtection="1">
      <alignment horizontal="center"/>
      <protection locked="0" hidden="1"/>
    </xf>
    <xf numFmtId="2" fontId="32" fillId="0" borderId="12" xfId="0" applyNumberFormat="1" applyFont="1" applyBorder="1" applyAlignment="1" applyProtection="1">
      <alignment horizontal="center"/>
      <protection locked="0" hidden="1"/>
    </xf>
    <xf numFmtId="2" fontId="6" fillId="0" borderId="6" xfId="0" applyNumberFormat="1" applyFont="1" applyBorder="1" applyAlignment="1" applyProtection="1">
      <alignment horizontal="center"/>
      <protection hidden="1"/>
    </xf>
    <xf numFmtId="0" fontId="7" fillId="0" borderId="0" xfId="0" applyFont="1" applyProtection="1">
      <protection hidden="1"/>
    </xf>
    <xf numFmtId="164" fontId="8" fillId="0" borderId="0" xfId="0" applyNumberFormat="1" applyFont="1" applyAlignment="1" applyProtection="1">
      <alignment horizontal="center"/>
      <protection hidden="1"/>
    </xf>
    <xf numFmtId="0" fontId="9" fillId="5" borderId="0" xfId="0" applyFont="1" applyFill="1" applyAlignment="1" applyProtection="1">
      <alignment horizontal="center"/>
      <protection hidden="1"/>
    </xf>
    <xf numFmtId="0" fontId="7" fillId="0" borderId="0" xfId="0" applyFont="1" applyAlignment="1" applyProtection="1">
      <alignment horizontal="center"/>
      <protection hidden="1"/>
    </xf>
    <xf numFmtId="14" fontId="7" fillId="5" borderId="0" xfId="0" applyNumberFormat="1" applyFont="1" applyFill="1" applyProtection="1">
      <protection hidden="1"/>
    </xf>
    <xf numFmtId="0" fontId="8" fillId="5" borderId="0" xfId="0" applyFont="1" applyFill="1" applyAlignment="1" applyProtection="1">
      <alignment horizontal="center"/>
      <protection hidden="1"/>
    </xf>
    <xf numFmtId="0" fontId="10" fillId="5" borderId="0" xfId="0" applyFont="1" applyFill="1" applyAlignment="1" applyProtection="1">
      <alignment horizontal="center" vertical="center"/>
      <protection hidden="1"/>
    </xf>
    <xf numFmtId="0" fontId="85" fillId="3" borderId="6" xfId="0" applyFont="1" applyFill="1" applyBorder="1" applyAlignment="1" applyProtection="1">
      <alignment horizontal="center"/>
      <protection hidden="1"/>
    </xf>
    <xf numFmtId="0" fontId="11" fillId="7" borderId="0" xfId="0" applyFont="1" applyFill="1" applyAlignment="1" applyProtection="1">
      <alignment horizontal="center"/>
      <protection hidden="1"/>
    </xf>
    <xf numFmtId="9" fontId="0" fillId="0" borderId="6" xfId="1" applyFont="1" applyBorder="1" applyAlignment="1" applyProtection="1">
      <alignment horizontal="center"/>
      <protection hidden="1"/>
    </xf>
    <xf numFmtId="164" fontId="0" fillId="0" borderId="67" xfId="0" applyNumberFormat="1" applyBorder="1" applyAlignment="1" applyProtection="1">
      <alignment horizontal="right"/>
      <protection hidden="1"/>
    </xf>
    <xf numFmtId="9" fontId="0" fillId="0" borderId="0" xfId="1" applyFont="1" applyBorder="1" applyAlignment="1" applyProtection="1">
      <alignment horizontal="center"/>
      <protection hidden="1"/>
    </xf>
    <xf numFmtId="1" fontId="0" fillId="0" borderId="0" xfId="0" applyNumberFormat="1" applyAlignment="1" applyProtection="1">
      <alignment horizontal="center"/>
      <protection hidden="1"/>
    </xf>
    <xf numFmtId="164" fontId="0" fillId="0" borderId="0" xfId="0" applyNumberFormat="1" applyAlignment="1" applyProtection="1">
      <alignment horizontal="center"/>
      <protection hidden="1"/>
    </xf>
    <xf numFmtId="0" fontId="6" fillId="0" borderId="0" xfId="0" applyFont="1" applyAlignment="1" applyProtection="1">
      <alignment horizontal="center"/>
      <protection hidden="1"/>
    </xf>
    <xf numFmtId="0" fontId="23" fillId="0" borderId="0" xfId="0" applyFont="1" applyProtection="1">
      <protection hidden="1"/>
    </xf>
    <xf numFmtId="164" fontId="2" fillId="0" borderId="67"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0" fontId="33" fillId="0" borderId="0" xfId="0" applyFont="1" applyAlignment="1" applyProtection="1">
      <alignment horizontal="center"/>
      <protection hidden="1"/>
    </xf>
    <xf numFmtId="0" fontId="36" fillId="3" borderId="67" xfId="0" applyFont="1" applyFill="1" applyBorder="1" applyAlignment="1" applyProtection="1">
      <alignment horizontal="center"/>
      <protection hidden="1"/>
    </xf>
    <xf numFmtId="0" fontId="0" fillId="0" borderId="0" xfId="0" applyAlignment="1" applyProtection="1">
      <alignment vertical="center"/>
      <protection locked="0" hidden="1"/>
    </xf>
    <xf numFmtId="0" fontId="0" fillId="0" borderId="0" xfId="0" applyProtection="1">
      <protection locked="0" hidden="1"/>
    </xf>
    <xf numFmtId="0" fontId="33" fillId="0" borderId="0" xfId="0" applyFont="1" applyProtection="1">
      <protection locked="0" hidden="1"/>
    </xf>
    <xf numFmtId="0" fontId="0" fillId="0" borderId="0" xfId="0" applyAlignment="1" applyProtection="1">
      <alignment vertical="top"/>
      <protection locked="0"/>
    </xf>
    <xf numFmtId="0" fontId="92" fillId="0" borderId="0" xfId="0" applyFont="1" applyAlignment="1" applyProtection="1">
      <alignment horizontal="left" vertical="top" wrapText="1"/>
      <protection locked="0"/>
    </xf>
    <xf numFmtId="167" fontId="2" fillId="0" borderId="107" xfId="0" applyNumberFormat="1" applyFont="1" applyBorder="1" applyProtection="1">
      <protection hidden="1"/>
    </xf>
    <xf numFmtId="164" fontId="0" fillId="0" borderId="0" xfId="2" applyNumberFormat="1" applyFont="1" applyAlignment="1">
      <alignment vertical="center"/>
    </xf>
    <xf numFmtId="0" fontId="0" fillId="4" borderId="12" xfId="0" applyFill="1" applyBorder="1" applyAlignment="1">
      <alignment horizontal="center"/>
    </xf>
    <xf numFmtId="0" fontId="2" fillId="0" borderId="123" xfId="0" applyFont="1" applyBorder="1"/>
    <xf numFmtId="0" fontId="0" fillId="0" borderId="123" xfId="0" applyBorder="1" applyAlignment="1">
      <alignment horizontal="left"/>
    </xf>
    <xf numFmtId="44" fontId="31" fillId="11" borderId="123" xfId="2" applyFont="1" applyFill="1" applyBorder="1"/>
    <xf numFmtId="44" fontId="31" fillId="0" borderId="123" xfId="2" applyFont="1" applyFill="1" applyBorder="1" applyProtection="1">
      <protection locked="0"/>
    </xf>
    <xf numFmtId="44" fontId="0" fillId="11" borderId="123" xfId="2" applyFont="1" applyFill="1" applyBorder="1"/>
    <xf numFmtId="44" fontId="31" fillId="0" borderId="123" xfId="2" applyFont="1" applyBorder="1"/>
    <xf numFmtId="44" fontId="2" fillId="11" borderId="123" xfId="2" applyFont="1" applyFill="1" applyBorder="1"/>
    <xf numFmtId="0" fontId="82" fillId="0" borderId="124" xfId="0" applyFont="1" applyBorder="1" applyAlignment="1">
      <alignment horizontal="left" vertical="center" wrapText="1"/>
    </xf>
    <xf numFmtId="0" fontId="44" fillId="0" borderId="0" xfId="0" applyFont="1" applyAlignment="1" applyProtection="1">
      <alignment vertical="top" wrapText="1"/>
      <protection hidden="1"/>
    </xf>
    <xf numFmtId="2" fontId="94" fillId="0" borderId="0" xfId="0" applyNumberFormat="1" applyFont="1" applyProtection="1">
      <protection hidden="1"/>
    </xf>
    <xf numFmtId="164" fontId="0" fillId="0" borderId="1" xfId="0" applyNumberFormat="1" applyBorder="1"/>
    <xf numFmtId="164" fontId="0" fillId="0" borderId="0" xfId="0" applyNumberFormat="1"/>
    <xf numFmtId="0" fontId="0" fillId="0" borderId="0" xfId="0" applyAlignment="1" applyProtection="1">
      <alignment horizontal="left" vertical="center" wrapText="1"/>
      <protection hidden="1"/>
    </xf>
    <xf numFmtId="0" fontId="40" fillId="23" borderId="125" xfId="0" applyFont="1" applyFill="1" applyBorder="1" applyAlignment="1" applyProtection="1">
      <alignment horizontal="center" wrapText="1"/>
      <protection hidden="1"/>
    </xf>
    <xf numFmtId="0" fontId="40" fillId="23" borderId="96" xfId="0" applyFont="1" applyFill="1" applyBorder="1" applyAlignment="1" applyProtection="1">
      <alignment horizontal="center"/>
      <protection hidden="1"/>
    </xf>
    <xf numFmtId="44" fontId="40" fillId="23" borderId="126" xfId="0" applyNumberFormat="1" applyFont="1" applyFill="1" applyBorder="1" applyProtection="1">
      <protection hidden="1"/>
    </xf>
    <xf numFmtId="0" fontId="0" fillId="0" borderId="0" xfId="0" applyAlignment="1" applyProtection="1">
      <alignment horizontal="center" wrapText="1"/>
      <protection hidden="1"/>
    </xf>
    <xf numFmtId="0" fontId="31" fillId="0" borderId="0" xfId="0" applyFont="1" applyAlignment="1" applyProtection="1">
      <alignment horizontal="center" wrapText="1"/>
      <protection locked="0" hidden="1"/>
    </xf>
    <xf numFmtId="44" fontId="31" fillId="0" borderId="0" xfId="2" applyFont="1" applyAlignment="1" applyProtection="1">
      <alignment wrapText="1"/>
      <protection locked="0" hidden="1"/>
    </xf>
    <xf numFmtId="0" fontId="31" fillId="0" borderId="0" xfId="0" applyFont="1" applyAlignment="1" applyProtection="1">
      <alignment wrapText="1"/>
      <protection locked="0" hidden="1"/>
    </xf>
    <xf numFmtId="0" fontId="32" fillId="18" borderId="0" xfId="0" applyFont="1" applyFill="1" applyProtection="1">
      <protection locked="0"/>
    </xf>
    <xf numFmtId="44" fontId="2" fillId="0" borderId="125" xfId="0" applyNumberFormat="1" applyFont="1" applyBorder="1" applyAlignment="1" applyProtection="1">
      <alignment horizontal="center"/>
      <protection hidden="1"/>
    </xf>
    <xf numFmtId="44" fontId="1" fillId="0" borderId="96" xfId="2" applyFont="1" applyBorder="1" applyProtection="1">
      <protection hidden="1"/>
    </xf>
    <xf numFmtId="0" fontId="14" fillId="0" borderId="126" xfId="0" applyFont="1" applyBorder="1" applyProtection="1">
      <protection hidden="1"/>
    </xf>
    <xf numFmtId="0" fontId="2" fillId="0" borderId="125" xfId="0" applyFont="1" applyBorder="1" applyAlignment="1" applyProtection="1">
      <alignment horizontal="center"/>
      <protection hidden="1"/>
    </xf>
    <xf numFmtId="0" fontId="2" fillId="0" borderId="127" xfId="0" applyFont="1" applyBorder="1" applyAlignment="1" applyProtection="1">
      <alignment horizontal="center"/>
      <protection hidden="1"/>
    </xf>
    <xf numFmtId="0" fontId="14" fillId="0" borderId="128" xfId="0" applyFont="1" applyBorder="1" applyProtection="1">
      <protection hidden="1"/>
    </xf>
    <xf numFmtId="0" fontId="2" fillId="0" borderId="129" xfId="0" applyFont="1" applyBorder="1" applyAlignment="1" applyProtection="1">
      <alignment horizontal="center"/>
      <protection hidden="1"/>
    </xf>
    <xf numFmtId="44" fontId="1" fillId="0" borderId="130" xfId="2" applyFont="1" applyBorder="1" applyProtection="1">
      <protection hidden="1"/>
    </xf>
    <xf numFmtId="168" fontId="1" fillId="0" borderId="130" xfId="2" applyNumberFormat="1" applyFont="1" applyBorder="1" applyProtection="1">
      <protection hidden="1"/>
    </xf>
    <xf numFmtId="0" fontId="14" fillId="0" borderId="131" xfId="0" applyFont="1" applyBorder="1" applyProtection="1">
      <protection hidden="1"/>
    </xf>
    <xf numFmtId="44" fontId="14" fillId="0" borderId="134" xfId="0" applyNumberFormat="1" applyFont="1" applyBorder="1" applyProtection="1">
      <protection hidden="1"/>
    </xf>
    <xf numFmtId="0" fontId="41" fillId="0" borderId="0" xfId="0" applyFont="1" applyAlignment="1" applyProtection="1">
      <alignment horizontal="center" wrapText="1"/>
      <protection hidden="1"/>
    </xf>
    <xf numFmtId="44" fontId="41" fillId="22" borderId="0" xfId="0" applyNumberFormat="1" applyFont="1" applyFill="1" applyAlignment="1" applyProtection="1">
      <alignment wrapText="1"/>
      <protection hidden="1"/>
    </xf>
    <xf numFmtId="0" fontId="41" fillId="0" borderId="0" xfId="0" applyFont="1" applyAlignment="1" applyProtection="1">
      <alignment wrapText="1"/>
      <protection hidden="1"/>
    </xf>
    <xf numFmtId="0" fontId="41" fillId="0" borderId="0" xfId="0" applyFont="1" applyAlignment="1" applyProtection="1">
      <alignment horizontal="center"/>
      <protection hidden="1"/>
    </xf>
    <xf numFmtId="44" fontId="1" fillId="0" borderId="0" xfId="2" applyFont="1" applyAlignment="1" applyProtection="1">
      <alignment wrapText="1"/>
      <protection hidden="1"/>
    </xf>
    <xf numFmtId="0" fontId="60" fillId="0" borderId="135" xfId="0" applyFont="1" applyBorder="1"/>
    <xf numFmtId="44" fontId="1" fillId="0" borderId="136" xfId="2" applyFont="1" applyBorder="1" applyProtection="1">
      <protection hidden="1"/>
    </xf>
    <xf numFmtId="0" fontId="6" fillId="0" borderId="0" xfId="0" applyFont="1" applyAlignment="1" applyProtection="1">
      <alignment horizontal="left" vertical="center"/>
      <protection locked="0"/>
    </xf>
    <xf numFmtId="0" fontId="6" fillId="15" borderId="52" xfId="0" applyFont="1" applyFill="1" applyBorder="1" applyAlignment="1" applyProtection="1">
      <alignment horizontal="center" vertical="center" wrapText="1"/>
      <protection hidden="1"/>
    </xf>
    <xf numFmtId="0" fontId="6" fillId="15" borderId="53" xfId="0" applyFont="1" applyFill="1" applyBorder="1" applyAlignment="1" applyProtection="1">
      <alignment horizontal="center" vertical="center" wrapText="1"/>
      <protection hidden="1"/>
    </xf>
    <xf numFmtId="0" fontId="29" fillId="15" borderId="53" xfId="0" applyFont="1" applyFill="1" applyBorder="1" applyAlignment="1" applyProtection="1">
      <alignment horizontal="center" vertical="center" wrapText="1"/>
      <protection hidden="1"/>
    </xf>
    <xf numFmtId="0" fontId="30" fillId="15" borderId="53" xfId="0" applyFont="1" applyFill="1" applyBorder="1" applyAlignment="1" applyProtection="1">
      <alignment horizontal="left" vertical="center" wrapText="1"/>
      <protection hidden="1"/>
    </xf>
    <xf numFmtId="0" fontId="29" fillId="16" borderId="53" xfId="0" applyFont="1" applyFill="1" applyBorder="1" applyAlignment="1" applyProtection="1">
      <alignment horizontal="center" vertical="center" wrapText="1"/>
      <protection hidden="1"/>
    </xf>
    <xf numFmtId="14" fontId="6" fillId="16" borderId="53" xfId="0" applyNumberFormat="1" applyFont="1" applyFill="1" applyBorder="1" applyAlignment="1" applyProtection="1">
      <alignment horizontal="center" vertical="center" wrapText="1"/>
      <protection hidden="1"/>
    </xf>
    <xf numFmtId="0" fontId="29" fillId="15" borderId="53" xfId="0" applyFont="1" applyFill="1" applyBorder="1" applyAlignment="1" applyProtection="1">
      <alignment horizontal="left" vertical="center" wrapText="1"/>
      <protection hidden="1"/>
    </xf>
    <xf numFmtId="0" fontId="30" fillId="15" borderId="53" xfId="0" applyFont="1" applyFill="1" applyBorder="1" applyAlignment="1" applyProtection="1">
      <alignment horizontal="center" vertical="center" wrapText="1"/>
      <protection hidden="1"/>
    </xf>
    <xf numFmtId="0" fontId="30" fillId="12"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center" vertical="center" wrapText="1"/>
      <protection hidden="1"/>
    </xf>
    <xf numFmtId="0" fontId="29" fillId="6" borderId="53" xfId="0" applyFont="1" applyFill="1" applyBorder="1" applyAlignment="1" applyProtection="1">
      <alignment horizontal="center" vertical="center" wrapText="1"/>
      <protection hidden="1"/>
    </xf>
    <xf numFmtId="0" fontId="29" fillId="17" borderId="53" xfId="0" applyFont="1" applyFill="1" applyBorder="1" applyAlignment="1" applyProtection="1">
      <alignment horizontal="center" vertical="center" wrapText="1"/>
      <protection hidden="1"/>
    </xf>
    <xf numFmtId="0" fontId="6" fillId="17" borderId="53" xfId="0" applyFont="1" applyFill="1" applyBorder="1" applyAlignment="1" applyProtection="1">
      <alignment horizontal="center" vertical="center" wrapText="1"/>
      <protection hidden="1"/>
    </xf>
    <xf numFmtId="3" fontId="6"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center" vertical="center" wrapText="1"/>
      <protection hidden="1"/>
    </xf>
    <xf numFmtId="0" fontId="6" fillId="4" borderId="53" xfId="0" applyFont="1" applyFill="1" applyBorder="1" applyAlignment="1" applyProtection="1">
      <alignment horizontal="center" vertical="center" wrapText="1"/>
      <protection hidden="1"/>
    </xf>
    <xf numFmtId="0" fontId="29" fillId="4" borderId="53" xfId="0" applyFont="1" applyFill="1" applyBorder="1" applyAlignment="1" applyProtection="1">
      <alignment horizontal="center" vertical="center" wrapText="1"/>
      <protection hidden="1"/>
    </xf>
    <xf numFmtId="9" fontId="29"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right" vertical="center" wrapText="1"/>
      <protection hidden="1"/>
    </xf>
    <xf numFmtId="10" fontId="6" fillId="4" borderId="53" xfId="0" applyNumberFormat="1" applyFont="1" applyFill="1" applyBorder="1" applyAlignment="1" applyProtection="1">
      <alignment horizontal="center" vertical="center" wrapText="1"/>
      <protection hidden="1"/>
    </xf>
    <xf numFmtId="10" fontId="29" fillId="4" borderId="53" xfId="0" applyNumberFormat="1" applyFont="1" applyFill="1" applyBorder="1" applyAlignment="1" applyProtection="1">
      <alignment horizontal="center" vertical="center" wrapText="1"/>
      <protection hidden="1"/>
    </xf>
    <xf numFmtId="14" fontId="6" fillId="18" borderId="53" xfId="0" applyNumberFormat="1" applyFont="1" applyFill="1" applyBorder="1" applyAlignment="1" applyProtection="1">
      <alignment horizontal="center" vertical="center" wrapText="1"/>
      <protection hidden="1"/>
    </xf>
    <xf numFmtId="0" fontId="6" fillId="18" borderId="53" xfId="0" applyFont="1" applyFill="1" applyBorder="1" applyAlignment="1" applyProtection="1">
      <alignment horizontal="center" vertical="center" wrapText="1"/>
      <protection hidden="1"/>
    </xf>
    <xf numFmtId="0" fontId="29" fillId="18" borderId="53" xfId="0" applyFont="1" applyFill="1" applyBorder="1" applyAlignment="1" applyProtection="1">
      <alignment horizontal="center" vertical="center" wrapText="1"/>
      <protection hidden="1"/>
    </xf>
    <xf numFmtId="0" fontId="29" fillId="19" borderId="53"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49" xfId="0" applyFont="1" applyBorder="1" applyAlignment="1" applyProtection="1">
      <alignment horizontal="left" vertical="center" wrapText="1"/>
      <protection hidden="1"/>
    </xf>
    <xf numFmtId="14" fontId="6" fillId="0" borderId="49" xfId="0" applyNumberFormat="1" applyFont="1" applyBorder="1" applyAlignment="1" applyProtection="1">
      <alignment horizontal="center" vertical="center" wrapText="1"/>
      <protection hidden="1"/>
    </xf>
    <xf numFmtId="1" fontId="6" fillId="0" borderId="49" xfId="0" applyNumberFormat="1" applyFont="1" applyBorder="1" applyAlignment="1" applyProtection="1">
      <alignment horizontal="center" vertical="center" wrapText="1"/>
      <protection hidden="1"/>
    </xf>
    <xf numFmtId="0" fontId="6" fillId="0" borderId="49" xfId="0" applyFont="1" applyBorder="1" applyAlignment="1" applyProtection="1">
      <alignment horizontal="left" vertical="top" wrapText="1"/>
      <protection hidden="1"/>
    </xf>
    <xf numFmtId="3" fontId="6" fillId="0" borderId="49" xfId="0" applyNumberFormat="1" applyFont="1" applyBorder="1" applyAlignment="1" applyProtection="1">
      <alignment horizontal="center" vertical="center" wrapText="1"/>
      <protection hidden="1"/>
    </xf>
    <xf numFmtId="9" fontId="6" fillId="0" borderId="49" xfId="0" applyNumberFormat="1" applyFont="1" applyBorder="1" applyAlignment="1" applyProtection="1">
      <alignment horizontal="center" vertical="center" wrapText="1"/>
      <protection hidden="1"/>
    </xf>
    <xf numFmtId="4" fontId="6" fillId="0" borderId="49" xfId="0" applyNumberFormat="1" applyFont="1" applyBorder="1" applyAlignment="1" applyProtection="1">
      <alignment horizontal="center" vertical="center" wrapText="1"/>
      <protection hidden="1"/>
    </xf>
    <xf numFmtId="10" fontId="6" fillId="0" borderId="49" xfId="0" applyNumberFormat="1"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41" fillId="0" borderId="0" xfId="0" applyFont="1" applyProtection="1">
      <protection hidden="1"/>
    </xf>
    <xf numFmtId="0" fontId="6" fillId="0" borderId="49" xfId="0" applyFont="1" applyBorder="1" applyAlignment="1" applyProtection="1">
      <alignment horizontal="center" vertical="center" wrapText="1"/>
      <protection locked="0" hidden="1"/>
    </xf>
    <xf numFmtId="14" fontId="6" fillId="0" borderId="49" xfId="0" applyNumberFormat="1" applyFont="1" applyBorder="1" applyAlignment="1" applyProtection="1">
      <alignment horizontal="center" vertical="center" wrapText="1"/>
      <protection locked="0" hidden="1"/>
    </xf>
    <xf numFmtId="0" fontId="40" fillId="23" borderId="96" xfId="0" applyFont="1" applyFill="1" applyBorder="1" applyAlignment="1" applyProtection="1">
      <alignment horizontal="center" vertical="center" wrapText="1"/>
      <protection hidden="1"/>
    </xf>
    <xf numFmtId="1" fontId="0" fillId="0" borderId="0" xfId="0" applyNumberFormat="1"/>
    <xf numFmtId="0" fontId="34" fillId="0" borderId="0" xfId="0" applyFont="1" applyAlignment="1" applyProtection="1">
      <alignment textRotation="90"/>
      <protection locked="0"/>
    </xf>
    <xf numFmtId="1" fontId="0" fillId="0" borderId="0" xfId="0" applyNumberFormat="1" applyProtection="1">
      <protection hidden="1"/>
    </xf>
    <xf numFmtId="0" fontId="97" fillId="5" borderId="0" xfId="0" applyFont="1" applyFill="1" applyAlignment="1" applyProtection="1">
      <alignment horizontal="center"/>
      <protection hidden="1"/>
    </xf>
    <xf numFmtId="0" fontId="97" fillId="5" borderId="0" xfId="0" applyFont="1" applyFill="1" applyAlignment="1" applyProtection="1">
      <alignment horizontal="center" vertical="center"/>
      <protection hidden="1"/>
    </xf>
    <xf numFmtId="2" fontId="0" fillId="0" borderId="0" xfId="0" applyNumberFormat="1"/>
    <xf numFmtId="44" fontId="34" fillId="0" borderId="1" xfId="2" applyFont="1" applyBorder="1"/>
    <xf numFmtId="44" fontId="34" fillId="0" borderId="0" xfId="0" applyNumberFormat="1" applyFont="1"/>
    <xf numFmtId="0" fontId="6" fillId="3" borderId="0" xfId="0" applyFont="1" applyFill="1"/>
    <xf numFmtId="0" fontId="2" fillId="0" borderId="137" xfId="0" applyFont="1" applyBorder="1" applyAlignment="1" applyProtection="1">
      <alignment horizontal="center"/>
      <protection locked="0"/>
    </xf>
    <xf numFmtId="164" fontId="0" fillId="0" borderId="137" xfId="0" applyNumberFormat="1" applyBorder="1" applyProtection="1">
      <protection locked="0"/>
    </xf>
    <xf numFmtId="0" fontId="2" fillId="29" borderId="137" xfId="0" applyFont="1" applyFill="1" applyBorder="1" applyAlignment="1" applyProtection="1">
      <alignment horizontal="center"/>
      <protection locked="0"/>
    </xf>
    <xf numFmtId="164" fontId="2" fillId="29" borderId="137" xfId="0" applyNumberFormat="1" applyFont="1" applyFill="1" applyBorder="1" applyProtection="1">
      <protection locked="0"/>
    </xf>
    <xf numFmtId="0" fontId="98" fillId="0" borderId="0" xfId="0" applyFont="1" applyAlignment="1" applyProtection="1">
      <alignment vertical="top"/>
      <protection hidden="1"/>
    </xf>
    <xf numFmtId="164" fontId="2" fillId="0" borderId="136" xfId="0" applyNumberFormat="1" applyFont="1" applyBorder="1" applyAlignment="1" applyProtection="1">
      <alignment horizontal="right"/>
      <protection hidden="1"/>
    </xf>
    <xf numFmtId="0" fontId="99" fillId="0" borderId="0" xfId="0" applyFont="1" applyAlignment="1" applyProtection="1">
      <alignment horizontal="center" vertical="center"/>
      <protection hidden="1"/>
    </xf>
    <xf numFmtId="0" fontId="100" fillId="0" borderId="0" xfId="0" applyFont="1" applyAlignment="1" applyProtection="1">
      <alignment horizontal="center"/>
      <protection hidden="1"/>
    </xf>
    <xf numFmtId="0" fontId="2" fillId="0" borderId="2" xfId="0" applyFont="1" applyBorder="1" applyAlignment="1">
      <alignment horizontal="center" vertical="center"/>
    </xf>
    <xf numFmtId="164" fontId="13" fillId="0" borderId="2" xfId="0" applyNumberFormat="1" applyFont="1" applyBorder="1"/>
    <xf numFmtId="0" fontId="13" fillId="0" borderId="2" xfId="0" applyFont="1" applyBorder="1"/>
    <xf numFmtId="0" fontId="0" fillId="0" borderId="1" xfId="0" applyBorder="1" applyAlignment="1" applyProtection="1">
      <alignment horizontal="center"/>
      <protection locked="0"/>
    </xf>
    <xf numFmtId="0" fontId="0" fillId="0" borderId="1" xfId="0" applyBorder="1" applyProtection="1">
      <protection locked="0"/>
    </xf>
    <xf numFmtId="0" fontId="101" fillId="23" borderId="96" xfId="0" applyFont="1" applyFill="1" applyBorder="1" applyAlignment="1" applyProtection="1">
      <alignment horizontal="center" vertical="center" wrapText="1"/>
      <protection hidden="1"/>
    </xf>
    <xf numFmtId="164" fontId="0" fillId="0" borderId="137" xfId="0" applyNumberFormat="1" applyBorder="1"/>
    <xf numFmtId="0" fontId="2" fillId="29" borderId="137" xfId="0" applyFont="1" applyFill="1" applyBorder="1" applyAlignment="1">
      <alignment horizontal="center"/>
    </xf>
    <xf numFmtId="164" fontId="2" fillId="29" borderId="137" xfId="0" applyNumberFormat="1" applyFont="1" applyFill="1" applyBorder="1"/>
    <xf numFmtId="0" fontId="41" fillId="0" borderId="0" xfId="0" applyFont="1" applyProtection="1">
      <protection locked="0"/>
    </xf>
    <xf numFmtId="0" fontId="0" fillId="0" borderId="6" xfId="0" applyBorder="1" applyAlignment="1" applyProtection="1">
      <alignment horizontal="center" vertical="center"/>
      <protection hidden="1"/>
    </xf>
    <xf numFmtId="0" fontId="31" fillId="0" borderId="0" xfId="0" applyFont="1" applyAlignment="1" applyProtection="1">
      <alignment horizontal="center"/>
      <protection hidden="1"/>
    </xf>
    <xf numFmtId="164" fontId="95" fillId="0" borderId="140" xfId="0" applyNumberFormat="1" applyFont="1" applyBorder="1" applyAlignment="1">
      <alignment vertical="center"/>
    </xf>
    <xf numFmtId="0" fontId="0" fillId="0" borderId="138" xfId="0" applyBorder="1" applyProtection="1">
      <protection locked="0"/>
    </xf>
    <xf numFmtId="0" fontId="103" fillId="0" borderId="139" xfId="0" applyFont="1" applyBorder="1" applyAlignment="1">
      <alignment vertical="center"/>
    </xf>
    <xf numFmtId="0" fontId="5"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left" vertical="top" wrapText="1"/>
      <protection locked="0" hidden="1"/>
    </xf>
    <xf numFmtId="0" fontId="31" fillId="0" borderId="0" xfId="0" applyFont="1" applyAlignment="1" applyProtection="1">
      <alignment horizontal="left" vertical="top" wrapText="1"/>
      <protection locked="0"/>
    </xf>
    <xf numFmtId="0" fontId="0" fillId="6" borderId="0" xfId="0" applyFill="1" applyAlignment="1" applyProtection="1">
      <alignment horizontal="center" vertical="center"/>
      <protection hidden="1"/>
    </xf>
    <xf numFmtId="2" fontId="0" fillId="0" borderId="0" xfId="0" applyNumberFormat="1" applyProtection="1">
      <protection locked="0" hidden="1"/>
    </xf>
    <xf numFmtId="0" fontId="0" fillId="0" borderId="0" xfId="0" applyAlignment="1" applyProtection="1">
      <alignment horizontal="center"/>
      <protection hidden="1"/>
    </xf>
    <xf numFmtId="0" fontId="0" fillId="4" borderId="5" xfId="0" applyFill="1" applyBorder="1" applyProtection="1">
      <protection hidden="1"/>
    </xf>
    <xf numFmtId="0" fontId="33" fillId="4" borderId="5" xfId="0" applyFont="1" applyFill="1" applyBorder="1" applyProtection="1">
      <protection hidden="1"/>
    </xf>
    <xf numFmtId="0" fontId="0" fillId="4" borderId="5" xfId="0" applyFill="1" applyBorder="1" applyProtection="1">
      <protection locked="0" hidden="1"/>
    </xf>
    <xf numFmtId="164" fontId="2" fillId="4" borderId="5" xfId="0" applyNumberFormat="1" applyFont="1" applyFill="1" applyBorder="1" applyProtection="1">
      <protection hidden="1"/>
    </xf>
    <xf numFmtId="0" fontId="2" fillId="0" borderId="0" xfId="0" applyFont="1" applyFill="1"/>
    <xf numFmtId="0" fontId="0" fillId="0" borderId="0" xfId="0" applyFill="1"/>
    <xf numFmtId="0" fontId="3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91" fillId="0" borderId="0" xfId="0" applyFont="1"/>
    <xf numFmtId="0" fontId="25" fillId="13" borderId="63" xfId="0" applyFont="1" applyFill="1" applyBorder="1" applyAlignment="1">
      <alignment horizontal="center" vertical="center" wrapText="1"/>
    </xf>
    <xf numFmtId="4" fontId="0" fillId="0" borderId="0" xfId="0" applyNumberFormat="1"/>
    <xf numFmtId="0" fontId="0" fillId="0" borderId="43" xfId="0" applyBorder="1" applyAlignment="1">
      <alignment horizontal="right"/>
    </xf>
    <xf numFmtId="0" fontId="0" fillId="0" borderId="44" xfId="0" applyFill="1" applyBorder="1" applyAlignment="1">
      <alignment horizontal="center" vertical="center"/>
    </xf>
    <xf numFmtId="0" fontId="0" fillId="0" borderId="44" xfId="0" applyFill="1" applyBorder="1" applyAlignment="1">
      <alignment horizontal="center"/>
    </xf>
    <xf numFmtId="0" fontId="0" fillId="0" borderId="44" xfId="0" applyBorder="1"/>
    <xf numFmtId="0" fontId="0" fillId="0" borderId="46" xfId="0" applyBorder="1" applyAlignment="1">
      <alignment horizontal="right"/>
    </xf>
    <xf numFmtId="0" fontId="0" fillId="0" borderId="0" xfId="0" applyBorder="1"/>
    <xf numFmtId="0" fontId="0" fillId="30" borderId="47" xfId="0" applyFill="1" applyBorder="1"/>
    <xf numFmtId="9" fontId="0" fillId="0" borderId="0" xfId="0" applyNumberFormat="1" applyBorder="1"/>
    <xf numFmtId="0" fontId="0" fillId="0" borderId="48" xfId="0" applyBorder="1"/>
    <xf numFmtId="9" fontId="0" fillId="0" borderId="49" xfId="0" applyNumberFormat="1" applyBorder="1"/>
    <xf numFmtId="0" fontId="15" fillId="9" borderId="0" xfId="3" applyFill="1" applyProtection="1"/>
    <xf numFmtId="0" fontId="3" fillId="10" borderId="0" xfId="3" applyFont="1" applyFill="1" applyAlignment="1" applyProtection="1">
      <alignment horizontal="right" vertical="center"/>
    </xf>
    <xf numFmtId="0" fontId="17" fillId="9" borderId="18" xfId="3" applyFont="1" applyFill="1" applyBorder="1" applyAlignment="1" applyProtection="1">
      <alignment horizontal="center" vertical="center" wrapText="1"/>
    </xf>
    <xf numFmtId="0" fontId="17" fillId="10" borderId="19" xfId="3" applyFont="1" applyFill="1" applyBorder="1" applyAlignment="1" applyProtection="1">
      <alignment horizontal="center" vertical="center" wrapText="1"/>
    </xf>
    <xf numFmtId="0" fontId="17" fillId="9" borderId="20" xfId="3" applyFont="1" applyFill="1" applyBorder="1" applyAlignment="1" applyProtection="1">
      <alignment horizontal="center" vertical="center" wrapText="1"/>
    </xf>
    <xf numFmtId="0" fontId="17" fillId="9" borderId="21" xfId="3" applyFont="1" applyFill="1" applyBorder="1" applyAlignment="1" applyProtection="1">
      <alignment horizontal="center" vertical="center"/>
    </xf>
    <xf numFmtId="0" fontId="17" fillId="9" borderId="22" xfId="3" applyFont="1" applyFill="1" applyBorder="1" applyAlignment="1" applyProtection="1">
      <alignment horizontal="center" vertical="center"/>
    </xf>
    <xf numFmtId="0" fontId="17" fillId="9" borderId="23" xfId="3" applyFont="1" applyFill="1" applyBorder="1" applyAlignment="1" applyProtection="1">
      <alignment horizontal="center" vertical="center"/>
    </xf>
    <xf numFmtId="0" fontId="17" fillId="9" borderId="24" xfId="3" applyFont="1" applyFill="1" applyBorder="1" applyAlignment="1" applyProtection="1">
      <alignment horizontal="center" vertical="center"/>
    </xf>
    <xf numFmtId="0" fontId="15" fillId="9" borderId="40" xfId="3" applyFill="1" applyBorder="1" applyProtection="1"/>
    <xf numFmtId="0" fontId="15" fillId="9" borderId="41" xfId="3" applyFill="1" applyBorder="1" applyProtection="1"/>
    <xf numFmtId="0" fontId="15" fillId="9" borderId="42" xfId="3" applyFill="1" applyBorder="1" applyProtection="1"/>
    <xf numFmtId="0" fontId="14" fillId="0" borderId="0" xfId="0" applyFont="1" applyProtection="1">
      <protection locked="0"/>
    </xf>
    <xf numFmtId="0" fontId="6" fillId="0" borderId="0" xfId="0" applyFont="1" applyProtection="1">
      <protection locked="0"/>
    </xf>
    <xf numFmtId="0" fontId="14" fillId="9" borderId="0" xfId="3" applyFont="1" applyFill="1"/>
    <xf numFmtId="0" fontId="86" fillId="9" borderId="0" xfId="3" applyFont="1" applyFill="1"/>
    <xf numFmtId="0" fontId="0" fillId="0" borderId="0" xfId="0" applyAlignment="1" applyProtection="1">
      <alignment vertical="top" wrapText="1"/>
      <protection hidden="1"/>
    </xf>
    <xf numFmtId="0" fontId="14" fillId="9" borderId="0" xfId="3" applyFont="1" applyFill="1" applyProtection="1"/>
    <xf numFmtId="0" fontId="0" fillId="0" borderId="0" xfId="0" applyProtection="1"/>
    <xf numFmtId="0" fontId="86" fillId="9" borderId="0" xfId="3" applyFont="1" applyFill="1" applyProtection="1"/>
    <xf numFmtId="0" fontId="23" fillId="0" borderId="0" xfId="0" applyFont="1" applyAlignment="1" applyProtection="1">
      <alignment horizontal="left" vertical="center"/>
    </xf>
    <xf numFmtId="0" fontId="6" fillId="0" borderId="0" xfId="0" applyFont="1" applyAlignment="1" applyProtection="1">
      <alignment horizontal="left" vertical="center"/>
    </xf>
    <xf numFmtId="0" fontId="102" fillId="0" borderId="6" xfId="0" applyFont="1" applyBorder="1" applyAlignment="1" applyProtection="1">
      <alignment horizontal="center" vertical="top" wrapText="1"/>
      <protection hidden="1"/>
    </xf>
    <xf numFmtId="0" fontId="0" fillId="0" borderId="0" xfId="0" applyAlignment="1" applyProtection="1">
      <alignment vertical="top" wrapText="1"/>
      <protection hidden="1"/>
    </xf>
    <xf numFmtId="0" fontId="0" fillId="0" borderId="0" xfId="0" applyFill="1" applyBorder="1" applyAlignment="1" applyProtection="1">
      <alignment horizontal="center" vertical="center"/>
      <protection hidden="1"/>
    </xf>
    <xf numFmtId="164" fontId="0" fillId="0" borderId="0" xfId="0" applyNumberFormat="1"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165" fontId="0" fillId="0" borderId="0" xfId="0" applyNumberFormat="1" applyFill="1" applyBorder="1" applyAlignment="1" applyProtection="1">
      <alignment horizontal="left" vertical="center"/>
      <protection hidden="1"/>
    </xf>
    <xf numFmtId="0" fontId="0" fillId="0" borderId="0" xfId="0" applyFill="1" applyBorder="1" applyProtection="1">
      <protection hidden="1"/>
    </xf>
    <xf numFmtId="164" fontId="0" fillId="0" borderId="0" xfId="0" applyNumberFormat="1" applyFill="1" applyBorder="1" applyProtection="1">
      <protection hidden="1"/>
    </xf>
    <xf numFmtId="0" fontId="0" fillId="0" borderId="0" xfId="0" applyFill="1" applyBorder="1" applyAlignment="1" applyProtection="1">
      <alignment horizontal="center"/>
      <protection hidden="1"/>
    </xf>
    <xf numFmtId="0" fontId="106" fillId="0" borderId="0" xfId="0" applyFont="1" applyFill="1" applyBorder="1" applyProtection="1">
      <protection hidden="1"/>
    </xf>
    <xf numFmtId="0" fontId="0" fillId="0" borderId="0" xfId="0" applyAlignment="1" applyProtection="1">
      <protection hidden="1"/>
    </xf>
    <xf numFmtId="164" fontId="0" fillId="0" borderId="0" xfId="0" applyNumberFormat="1" applyAlignment="1" applyProtection="1">
      <protection hidden="1"/>
    </xf>
    <xf numFmtId="0" fontId="3" fillId="2" borderId="142" xfId="0" applyFont="1" applyFill="1" applyBorder="1" applyAlignment="1" applyProtection="1">
      <alignment vertical="center"/>
      <protection hidden="1"/>
    </xf>
    <xf numFmtId="165" fontId="3" fillId="2" borderId="142" xfId="2" applyNumberFormat="1" applyFont="1" applyFill="1" applyBorder="1" applyAlignment="1" applyProtection="1">
      <alignment horizontal="center" vertical="center"/>
      <protection hidden="1"/>
    </xf>
    <xf numFmtId="44" fontId="3" fillId="2" borderId="142" xfId="2" applyFont="1" applyFill="1" applyBorder="1" applyAlignment="1" applyProtection="1">
      <alignment horizontal="center" vertical="center"/>
      <protection hidden="1"/>
    </xf>
    <xf numFmtId="0" fontId="2" fillId="4" borderId="142" xfId="0" applyFont="1" applyFill="1" applyBorder="1" applyAlignment="1" applyProtection="1">
      <protection hidden="1"/>
    </xf>
    <xf numFmtId="4" fontId="0" fillId="0" borderId="142" xfId="0" applyNumberFormat="1" applyBorder="1" applyProtection="1">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horizontal="center" vertical="center"/>
      <protection hidden="1"/>
    </xf>
    <xf numFmtId="165" fontId="2" fillId="0" borderId="0" xfId="0" applyNumberFormat="1" applyFont="1" applyFill="1" applyBorder="1" applyAlignment="1" applyProtection="1">
      <alignment horizontal="left" vertical="center"/>
      <protection hidden="1"/>
    </xf>
    <xf numFmtId="0" fontId="2" fillId="4" borderId="142" xfId="0" applyFont="1" applyFill="1" applyBorder="1" applyAlignment="1" applyProtection="1">
      <alignment horizontal="center"/>
      <protection hidden="1"/>
    </xf>
    <xf numFmtId="4" fontId="0" fillId="4" borderId="142" xfId="0" applyNumberFormat="1" applyFill="1" applyBorder="1" applyProtection="1">
      <protection hidden="1"/>
    </xf>
    <xf numFmtId="0" fontId="2" fillId="3" borderId="142" xfId="0" applyFont="1" applyFill="1" applyBorder="1" applyAlignment="1" applyProtection="1">
      <protection hidden="1"/>
    </xf>
    <xf numFmtId="0" fontId="2" fillId="3" borderId="142" xfId="0" applyFont="1" applyFill="1" applyBorder="1" applyAlignment="1" applyProtection="1">
      <alignment horizontal="center"/>
      <protection hidden="1"/>
    </xf>
    <xf numFmtId="4" fontId="2" fillId="3" borderId="142" xfId="0" applyNumberFormat="1" applyFont="1" applyFill="1" applyBorder="1" applyProtection="1">
      <protection hidden="1"/>
    </xf>
    <xf numFmtId="0" fontId="108" fillId="4" borderId="142" xfId="0" applyFont="1" applyFill="1" applyBorder="1" applyAlignment="1" applyProtection="1">
      <protection hidden="1"/>
    </xf>
    <xf numFmtId="0" fontId="108" fillId="4" borderId="142" xfId="0" applyFont="1" applyFill="1" applyBorder="1" applyAlignment="1" applyProtection="1">
      <alignment horizontal="center"/>
      <protection hidden="1"/>
    </xf>
    <xf numFmtId="4" fontId="106" fillId="0" borderId="142" xfId="0" applyNumberFormat="1" applyFont="1" applyBorder="1" applyProtection="1">
      <protection hidden="1"/>
    </xf>
    <xf numFmtId="164" fontId="0" fillId="0" borderId="144" xfId="0" applyNumberFormat="1" applyFont="1" applyBorder="1" applyAlignment="1" applyProtection="1">
      <alignment horizontal="right"/>
      <protection hidden="1"/>
    </xf>
    <xf numFmtId="164" fontId="0" fillId="0" borderId="0" xfId="0" applyNumberFormat="1" applyProtection="1">
      <protection locked="0"/>
    </xf>
    <xf numFmtId="10" fontId="0" fillId="0" borderId="144" xfId="0" applyNumberFormat="1" applyFont="1" applyBorder="1" applyAlignment="1" applyProtection="1">
      <alignment horizontal="right"/>
      <protection hidden="1"/>
    </xf>
    <xf numFmtId="0" fontId="3" fillId="2" borderId="142" xfId="0" applyFont="1" applyFill="1" applyBorder="1" applyAlignment="1" applyProtection="1">
      <alignment horizontal="center" vertical="center"/>
      <protection hidden="1"/>
    </xf>
    <xf numFmtId="0" fontId="2" fillId="2" borderId="142" xfId="0" applyFont="1" applyFill="1" applyBorder="1" applyAlignment="1" applyProtection="1">
      <protection hidden="1"/>
    </xf>
    <xf numFmtId="0" fontId="2" fillId="2" borderId="142" xfId="0" applyFont="1" applyFill="1" applyBorder="1" applyAlignment="1" applyProtection="1">
      <alignment horizontal="center"/>
      <protection hidden="1"/>
    </xf>
    <xf numFmtId="4" fontId="2" fillId="2" borderId="142" xfId="0" applyNumberFormat="1" applyFont="1" applyFill="1" applyBorder="1" applyProtection="1">
      <protection hidden="1"/>
    </xf>
    <xf numFmtId="0" fontId="2" fillId="4" borderId="142" xfId="0" applyFont="1" applyFill="1" applyBorder="1" applyAlignment="1" applyProtection="1">
      <alignment horizontal="left"/>
      <protection hidden="1"/>
    </xf>
    <xf numFmtId="164" fontId="0" fillId="2" borderId="0" xfId="0" applyNumberFormat="1" applyFill="1" applyBorder="1" applyProtection="1">
      <protection hidden="1"/>
    </xf>
    <xf numFmtId="0" fontId="0" fillId="30" borderId="0" xfId="0" applyFill="1" applyProtection="1">
      <protection hidden="1"/>
    </xf>
    <xf numFmtId="0" fontId="6" fillId="0" borderId="0" xfId="0" applyFont="1" applyProtection="1">
      <protection hidden="1"/>
    </xf>
    <xf numFmtId="164" fontId="0" fillId="0" borderId="0" xfId="0" applyNumberFormat="1" applyFill="1" applyBorder="1" applyAlignment="1" applyProtection="1">
      <alignment horizontal="center"/>
      <protection hidden="1"/>
    </xf>
    <xf numFmtId="0" fontId="0" fillId="0" borderId="0" xfId="0" applyFill="1" applyBorder="1" applyAlignment="1" applyProtection="1">
      <protection hidden="1"/>
    </xf>
    <xf numFmtId="164" fontId="0" fillId="0" borderId="0" xfId="0" applyNumberFormat="1" applyFill="1" applyBorder="1" applyAlignment="1" applyProtection="1">
      <protection hidden="1"/>
    </xf>
    <xf numFmtId="0" fontId="4" fillId="2" borderId="142" xfId="0" applyFont="1" applyFill="1" applyBorder="1" applyAlignment="1" applyProtection="1">
      <alignment horizontal="right" vertical="center"/>
      <protection hidden="1"/>
    </xf>
    <xf numFmtId="1" fontId="23" fillId="0" borderId="0" xfId="0" applyNumberFormat="1" applyFont="1" applyAlignment="1" applyProtection="1">
      <alignment horizontal="center"/>
      <protection locked="0"/>
    </xf>
    <xf numFmtId="0" fontId="0" fillId="0" borderId="0" xfId="0" applyAlignment="1" applyProtection="1">
      <protection locked="0" hidden="1"/>
    </xf>
    <xf numFmtId="0" fontId="33" fillId="0" borderId="0" xfId="0" applyFont="1" applyAlignment="1" applyProtection="1">
      <protection locked="0" hidden="1"/>
    </xf>
    <xf numFmtId="0" fontId="0" fillId="0" borderId="0" xfId="0" applyAlignment="1" applyProtection="1">
      <protection locked="0"/>
    </xf>
    <xf numFmtId="0" fontId="110" fillId="16" borderId="142" xfId="0" applyFont="1" applyFill="1" applyBorder="1" applyAlignment="1" applyProtection="1">
      <alignment horizontal="center" vertical="center"/>
      <protection locked="0"/>
    </xf>
    <xf numFmtId="4" fontId="0" fillId="31" borderId="0" xfId="2" applyNumberFormat="1" applyFont="1" applyFill="1" applyBorder="1" applyAlignment="1">
      <alignment horizontal="center" vertical="center"/>
    </xf>
    <xf numFmtId="0" fontId="0" fillId="31" borderId="0" xfId="0" applyFill="1" applyBorder="1" applyAlignment="1">
      <alignment horizontal="center" vertical="center"/>
    </xf>
    <xf numFmtId="0" fontId="0" fillId="31" borderId="0" xfId="0" applyFill="1" applyBorder="1"/>
    <xf numFmtId="0" fontId="0" fillId="31" borderId="0" xfId="0" applyFill="1"/>
    <xf numFmtId="9" fontId="0" fillId="31" borderId="0" xfId="0" applyNumberFormat="1" applyFill="1" applyBorder="1" applyAlignment="1">
      <alignment horizontal="center"/>
    </xf>
    <xf numFmtId="14" fontId="0" fillId="31" borderId="0" xfId="0" applyNumberFormat="1" applyFill="1"/>
    <xf numFmtId="0" fontId="16" fillId="9" borderId="0" xfId="3" applyFont="1" applyFill="1" applyAlignment="1" applyProtection="1">
      <alignment horizontal="left" vertical="center"/>
    </xf>
    <xf numFmtId="0" fontId="0" fillId="0" borderId="43" xfId="0" applyBorder="1" applyProtection="1">
      <protection hidden="1"/>
    </xf>
    <xf numFmtId="0" fontId="0" fillId="0" borderId="45" xfId="0" applyBorder="1" applyProtection="1">
      <protection hidden="1"/>
    </xf>
    <xf numFmtId="0" fontId="29" fillId="19" borderId="160" xfId="0" applyFont="1" applyFill="1" applyBorder="1" applyAlignment="1" applyProtection="1">
      <alignment horizontal="center" vertical="center" wrapText="1"/>
      <protection hidden="1"/>
    </xf>
    <xf numFmtId="0" fontId="6" fillId="0" borderId="55"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6" fillId="0" borderId="57" xfId="0" applyFont="1" applyBorder="1" applyAlignment="1" applyProtection="1">
      <alignment vertical="center" wrapText="1"/>
      <protection hidden="1"/>
    </xf>
    <xf numFmtId="0" fontId="6" fillId="0" borderId="152" xfId="0" applyFont="1" applyBorder="1" applyAlignment="1" applyProtection="1">
      <alignment vertical="center" wrapText="1"/>
      <protection hidden="1"/>
    </xf>
    <xf numFmtId="0" fontId="6" fillId="0" borderId="58" xfId="0" applyFont="1" applyBorder="1" applyAlignment="1" applyProtection="1">
      <alignment vertical="center" wrapText="1"/>
      <protection hidden="1"/>
    </xf>
    <xf numFmtId="0" fontId="6" fillId="28" borderId="55" xfId="0" applyFont="1" applyFill="1" applyBorder="1" applyAlignment="1" applyProtection="1">
      <alignment horizontal="center" vertical="center" wrapText="1"/>
      <protection hidden="1"/>
    </xf>
    <xf numFmtId="0" fontId="6" fillId="28" borderId="1" xfId="0" applyFont="1" applyFill="1" applyBorder="1" applyAlignment="1" applyProtection="1">
      <alignment horizontal="center" vertical="center" wrapText="1"/>
      <protection hidden="1"/>
    </xf>
    <xf numFmtId="0" fontId="6" fillId="28" borderId="56" xfId="0" applyFont="1" applyFill="1" applyBorder="1" applyAlignment="1" applyProtection="1">
      <alignment horizontal="center" vertical="center" wrapText="1"/>
      <protection hidden="1"/>
    </xf>
    <xf numFmtId="14" fontId="6" fillId="0" borderId="58" xfId="0" applyNumberFormat="1" applyFont="1" applyBorder="1" applyAlignment="1" applyProtection="1">
      <alignment vertical="center" wrapText="1"/>
      <protection hidden="1"/>
    </xf>
    <xf numFmtId="2" fontId="0" fillId="0" borderId="0" xfId="0" applyNumberFormat="1" applyProtection="1">
      <protection hidden="1"/>
    </xf>
    <xf numFmtId="0" fontId="0" fillId="25" borderId="98" xfId="0" applyFill="1" applyBorder="1" applyProtection="1">
      <protection locked="0"/>
    </xf>
    <xf numFmtId="0" fontId="0" fillId="26" borderId="98" xfId="0" applyFill="1" applyBorder="1" applyProtection="1">
      <protection locked="0"/>
    </xf>
    <xf numFmtId="0" fontId="15" fillId="9" borderId="0" xfId="3" applyFill="1" applyProtection="1">
      <protection locked="0"/>
    </xf>
    <xf numFmtId="0" fontId="15" fillId="9" borderId="35" xfId="3" applyFill="1" applyBorder="1" applyAlignment="1" applyProtection="1">
      <alignment horizontal="right"/>
      <protection locked="0"/>
    </xf>
    <xf numFmtId="0" fontId="119" fillId="9" borderId="0" xfId="3" applyFont="1" applyFill="1" applyProtection="1"/>
    <xf numFmtId="0" fontId="3" fillId="10" borderId="0" xfId="3" applyFont="1" applyFill="1" applyAlignment="1">
      <alignment horizontal="right" vertical="center"/>
    </xf>
    <xf numFmtId="0" fontId="85" fillId="0" borderId="1" xfId="0" applyFont="1" applyBorder="1" applyAlignment="1">
      <alignment horizontal="center" vertical="center" wrapText="1"/>
    </xf>
    <xf numFmtId="1" fontId="32" fillId="0" borderId="67" xfId="0" applyNumberFormat="1" applyFont="1" applyBorder="1" applyAlignment="1" applyProtection="1">
      <alignment horizontal="center"/>
      <protection locked="0" hidden="1"/>
    </xf>
    <xf numFmtId="0" fontId="86" fillId="0" borderId="1" xfId="0" applyFont="1" applyBorder="1"/>
    <xf numFmtId="0" fontId="86" fillId="0" borderId="1" xfId="0" applyFont="1" applyBorder="1" applyAlignment="1">
      <alignment wrapText="1"/>
    </xf>
    <xf numFmtId="0" fontId="122" fillId="0" borderId="1" xfId="0" applyFont="1" applyBorder="1"/>
    <xf numFmtId="0" fontId="115" fillId="5" borderId="1" xfId="0" applyFont="1" applyFill="1" applyBorder="1" applyAlignment="1" applyProtection="1">
      <alignment horizontal="center" vertical="center"/>
      <protection locked="0"/>
    </xf>
    <xf numFmtId="0" fontId="115" fillId="5" borderId="54" xfId="0" applyFont="1" applyFill="1" applyBorder="1" applyAlignment="1" applyProtection="1">
      <alignment horizontal="center"/>
      <protection locked="0"/>
    </xf>
    <xf numFmtId="0" fontId="115" fillId="5" borderId="56" xfId="0" applyFont="1" applyFill="1" applyBorder="1" applyAlignment="1" applyProtection="1">
      <alignment horizontal="center"/>
      <protection locked="0"/>
    </xf>
    <xf numFmtId="0" fontId="23" fillId="0" borderId="44" xfId="0" applyFont="1" applyBorder="1" applyAlignment="1">
      <alignment horizontal="left" vertical="top" wrapText="1"/>
    </xf>
    <xf numFmtId="0" fontId="51" fillId="0" borderId="49" xfId="0" applyFont="1" applyBorder="1" applyAlignment="1" applyProtection="1">
      <alignment horizontal="left" vertical="top" wrapText="1"/>
      <protection hidden="1"/>
    </xf>
    <xf numFmtId="0" fontId="51" fillId="0" borderId="50" xfId="0" applyFont="1" applyBorder="1" applyAlignment="1" applyProtection="1">
      <alignment horizontal="left" vertical="top" wrapText="1"/>
      <protection hidden="1"/>
    </xf>
    <xf numFmtId="0" fontId="52" fillId="0" borderId="101" xfId="0"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1" fillId="0" borderId="47" xfId="0" applyFont="1" applyBorder="1" applyAlignment="1" applyProtection="1">
      <alignment horizontal="left" vertical="top" wrapText="1"/>
      <protection hidden="1"/>
    </xf>
    <xf numFmtId="0" fontId="51" fillId="0" borderId="4" xfId="0" applyFont="1" applyBorder="1" applyAlignment="1" applyProtection="1">
      <alignment horizontal="left" vertical="top" wrapText="1"/>
      <protection hidden="1"/>
    </xf>
    <xf numFmtId="0" fontId="52" fillId="0" borderId="100" xfId="0" applyFont="1" applyBorder="1" applyAlignment="1" applyProtection="1">
      <alignment horizontal="left" vertical="top" wrapText="1"/>
      <protection hidden="1"/>
    </xf>
    <xf numFmtId="0" fontId="52" fillId="0" borderId="102" xfId="0" applyFont="1" applyBorder="1" applyAlignment="1" applyProtection="1">
      <alignment horizontal="left" vertical="top" wrapText="1"/>
      <protection hidden="1"/>
    </xf>
    <xf numFmtId="0" fontId="51" fillId="0" borderId="44" xfId="0" applyFont="1" applyBorder="1" applyAlignment="1" applyProtection="1">
      <alignment horizontal="left" vertical="top" wrapText="1"/>
      <protection hidden="1"/>
    </xf>
    <xf numFmtId="0" fontId="51" fillId="0" borderId="45" xfId="0" applyFont="1" applyBorder="1" applyAlignment="1" applyProtection="1">
      <alignment horizontal="left" vertical="top" wrapText="1"/>
      <protection hidden="1"/>
    </xf>
    <xf numFmtId="0" fontId="51" fillId="0" borderId="11" xfId="0" applyFont="1" applyBorder="1" applyAlignment="1" applyProtection="1">
      <alignment vertical="top" wrapText="1"/>
      <protection hidden="1"/>
    </xf>
    <xf numFmtId="0" fontId="51" fillId="0" borderId="0" xfId="0" applyFont="1" applyAlignment="1" applyProtection="1">
      <alignment vertical="top" wrapText="1"/>
      <protection hidden="1"/>
    </xf>
    <xf numFmtId="0" fontId="51" fillId="0" borderId="47" xfId="0" applyFont="1" applyBorder="1" applyAlignment="1" applyProtection="1">
      <alignment vertical="top" wrapText="1"/>
      <protection hidden="1"/>
    </xf>
    <xf numFmtId="0" fontId="51" fillId="0" borderId="41" xfId="0" applyFont="1" applyBorder="1" applyAlignment="1" applyProtection="1">
      <alignment horizontal="left" vertical="top" wrapText="1"/>
      <protection hidden="1"/>
    </xf>
    <xf numFmtId="0" fontId="51" fillId="0" borderId="42" xfId="0" applyFont="1" applyBorder="1" applyAlignment="1" applyProtection="1">
      <alignment horizontal="left" vertical="top" wrapText="1"/>
      <protection hidden="1"/>
    </xf>
    <xf numFmtId="0" fontId="51" fillId="0" borderId="108" xfId="0" applyFont="1" applyBorder="1" applyAlignment="1" applyProtection="1">
      <alignment horizontal="left" vertical="top" wrapText="1"/>
      <protection hidden="1"/>
    </xf>
    <xf numFmtId="0" fontId="51" fillId="0" borderId="104" xfId="0" applyFont="1" applyBorder="1" applyAlignment="1" applyProtection="1">
      <alignment horizontal="left" vertical="top" wrapText="1"/>
      <protection hidden="1"/>
    </xf>
    <xf numFmtId="0" fontId="3" fillId="4" borderId="44" xfId="0" applyFont="1" applyFill="1" applyBorder="1" applyAlignment="1" applyProtection="1">
      <alignment horizontal="center" vertical="center" wrapText="1"/>
      <protection hidden="1"/>
    </xf>
    <xf numFmtId="0" fontId="3" fillId="4" borderId="45" xfId="0" applyFont="1" applyFill="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42" xfId="0" applyFont="1" applyBorder="1" applyAlignment="1" applyProtection="1">
      <alignment horizontal="center" vertical="center" wrapText="1"/>
      <protection hidden="1"/>
    </xf>
    <xf numFmtId="49" fontId="51" fillId="0" borderId="0" xfId="8" applyNumberFormat="1" applyFont="1" applyFill="1" applyBorder="1" applyAlignment="1" applyProtection="1">
      <alignment horizontal="left" vertical="top" wrapText="1"/>
      <protection hidden="1"/>
    </xf>
    <xf numFmtId="49" fontId="51" fillId="0" borderId="47" xfId="8" applyNumberFormat="1" applyFont="1" applyFill="1" applyBorder="1" applyAlignment="1" applyProtection="1">
      <alignment horizontal="left" vertical="top" wrapText="1"/>
      <protection hidden="1"/>
    </xf>
    <xf numFmtId="0" fontId="51" fillId="0" borderId="0" xfId="8" applyNumberFormat="1" applyFont="1" applyFill="1" applyBorder="1" applyAlignment="1" applyProtection="1">
      <alignment horizontal="left" vertical="top" wrapText="1"/>
      <protection hidden="1"/>
    </xf>
    <xf numFmtId="0" fontId="51" fillId="0" borderId="47" xfId="8" applyNumberFormat="1" applyFont="1" applyFill="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49" fontId="51" fillId="0" borderId="47" xfId="8" applyNumberFormat="1" applyFont="1" applyBorder="1" applyAlignment="1" applyProtection="1">
      <alignment horizontal="left" vertical="top" wrapText="1"/>
      <protection hidden="1"/>
    </xf>
    <xf numFmtId="49" fontId="75" fillId="0" borderId="0" xfId="8" applyNumberFormat="1" applyFont="1" applyBorder="1" applyAlignment="1" applyProtection="1">
      <alignment horizontal="left" vertical="top" wrapText="1"/>
      <protection hidden="1"/>
    </xf>
    <xf numFmtId="49" fontId="28" fillId="0" borderId="0" xfId="8" applyNumberFormat="1" applyBorder="1" applyAlignment="1" applyProtection="1">
      <alignment horizontal="left" vertical="top" wrapText="1"/>
      <protection hidden="1"/>
    </xf>
    <xf numFmtId="49" fontId="28" fillId="0" borderId="47" xfId="8" applyNumberFormat="1" applyBorder="1" applyAlignment="1" applyProtection="1">
      <alignment horizontal="left" vertical="top" wrapText="1"/>
      <protection hidden="1"/>
    </xf>
    <xf numFmtId="49" fontId="66" fillId="0" borderId="49" xfId="8" applyNumberFormat="1" applyFont="1" applyFill="1" applyBorder="1" applyAlignment="1" applyProtection="1">
      <alignment horizontal="left" vertical="top" wrapText="1"/>
      <protection hidden="1"/>
    </xf>
    <xf numFmtId="49" fontId="66" fillId="0" borderId="50" xfId="8" applyNumberFormat="1" applyFont="1" applyFill="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51" fillId="0" borderId="11" xfId="0" applyFont="1" applyBorder="1" applyAlignment="1" applyProtection="1">
      <alignment horizontal="left" vertical="top" wrapText="1"/>
      <protection hidden="1"/>
    </xf>
    <xf numFmtId="0" fontId="0" fillId="0" borderId="44" xfId="0" applyBorder="1" applyAlignment="1" applyProtection="1">
      <alignment horizontal="left" vertical="center" wrapText="1"/>
      <protection hidden="1"/>
    </xf>
    <xf numFmtId="0" fontId="0" fillId="0" borderId="45" xfId="0" applyBorder="1" applyAlignment="1" applyProtection="1">
      <alignment horizontal="left" vertical="center" wrapText="1"/>
      <protection hidden="1"/>
    </xf>
    <xf numFmtId="0" fontId="51" fillId="0" borderId="122" xfId="0" applyFont="1" applyBorder="1" applyAlignment="1" applyProtection="1">
      <alignment horizontal="left" vertical="top" wrapText="1"/>
      <protection hidden="1"/>
    </xf>
    <xf numFmtId="0" fontId="51" fillId="0" borderId="103" xfId="0" applyFont="1" applyBorder="1" applyAlignment="1" applyProtection="1">
      <alignment horizontal="left" vertical="top" wrapText="1"/>
      <protection hidden="1"/>
    </xf>
    <xf numFmtId="0" fontId="0" fillId="0" borderId="41" xfId="0" applyBorder="1" applyAlignment="1" applyProtection="1">
      <alignment horizontal="left" vertical="top" wrapText="1"/>
      <protection hidden="1"/>
    </xf>
    <xf numFmtId="0" fontId="0" fillId="0" borderId="42" xfId="0" applyBorder="1" applyAlignment="1" applyProtection="1">
      <alignment horizontal="left" vertical="top" wrapText="1"/>
      <protection hidden="1"/>
    </xf>
    <xf numFmtId="0" fontId="73" fillId="0" borderId="49" xfId="0" applyFont="1" applyBorder="1" applyAlignment="1" applyProtection="1">
      <alignment horizontal="left" vertical="center" wrapText="1"/>
      <protection hidden="1"/>
    </xf>
    <xf numFmtId="0" fontId="73" fillId="0" borderId="50" xfId="0"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13" fillId="0" borderId="74" xfId="0" applyFont="1" applyBorder="1" applyAlignment="1" applyProtection="1">
      <alignment horizontal="left" vertical="center" wrapText="1"/>
      <protection locked="0"/>
    </xf>
    <xf numFmtId="0" fontId="76" fillId="0" borderId="0" xfId="8" applyFont="1" applyBorder="1" applyAlignment="1">
      <alignment horizontal="left" vertical="top" wrapText="1"/>
    </xf>
    <xf numFmtId="3" fontId="13" fillId="0" borderId="70" xfId="0" applyNumberFormat="1" applyFont="1" applyBorder="1" applyAlignment="1" applyProtection="1">
      <alignment horizontal="left" vertical="center" wrapText="1"/>
      <protection locked="0"/>
    </xf>
    <xf numFmtId="0" fontId="13" fillId="0" borderId="71"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13" fillId="0" borderId="70"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72" xfId="0" applyFont="1" applyBorder="1" applyAlignment="1" applyProtection="1">
      <alignment horizontal="left" vertical="center"/>
      <protection locked="0"/>
    </xf>
    <xf numFmtId="0" fontId="3" fillId="3" borderId="0" xfId="0" applyFont="1" applyFill="1" applyAlignment="1">
      <alignment horizontal="left" vertical="center"/>
    </xf>
    <xf numFmtId="14" fontId="13" fillId="0" borderId="70" xfId="0" applyNumberFormat="1" applyFont="1" applyBorder="1" applyAlignment="1" applyProtection="1">
      <alignment horizontal="center" vertical="center"/>
      <protection locked="0"/>
    </xf>
    <xf numFmtId="14" fontId="13" fillId="0" borderId="72" xfId="0" applyNumberFormat="1" applyFont="1" applyBorder="1" applyAlignment="1" applyProtection="1">
      <alignment horizontal="center" vertical="center"/>
      <protection locked="0"/>
    </xf>
    <xf numFmtId="1" fontId="13" fillId="4" borderId="0" xfId="0" applyNumberFormat="1" applyFont="1" applyFill="1" applyAlignment="1" applyProtection="1">
      <alignment horizontal="center" vertical="center"/>
      <protection locked="0"/>
    </xf>
    <xf numFmtId="44" fontId="13" fillId="9" borderId="70" xfId="2" applyFont="1" applyFill="1" applyBorder="1" applyAlignment="1" applyProtection="1">
      <alignment horizontal="center" vertical="center"/>
      <protection locked="0"/>
    </xf>
    <xf numFmtId="44" fontId="13" fillId="9" borderId="72" xfId="2" applyFont="1" applyFill="1" applyBorder="1" applyAlignment="1" applyProtection="1">
      <alignment horizontal="center" vertical="center"/>
      <protection locked="0"/>
    </xf>
    <xf numFmtId="0" fontId="13" fillId="0" borderId="70" xfId="0" applyFont="1" applyBorder="1" applyAlignment="1" applyProtection="1">
      <alignment horizontal="left" vertical="center" wrapText="1"/>
      <protection locked="0"/>
    </xf>
    <xf numFmtId="0" fontId="13" fillId="4" borderId="70" xfId="0" applyFont="1" applyFill="1" applyBorder="1" applyAlignment="1" applyProtection="1">
      <alignment horizontal="left" vertical="center"/>
      <protection locked="0"/>
    </xf>
    <xf numFmtId="0" fontId="13" fillId="4" borderId="71" xfId="0" applyFont="1" applyFill="1" applyBorder="1" applyAlignment="1" applyProtection="1">
      <alignment horizontal="left" vertical="center"/>
      <protection locked="0"/>
    </xf>
    <xf numFmtId="0" fontId="13" fillId="4" borderId="72" xfId="0" applyFont="1" applyFill="1" applyBorder="1" applyAlignment="1" applyProtection="1">
      <alignment horizontal="left" vertical="center"/>
      <protection locked="0"/>
    </xf>
    <xf numFmtId="0" fontId="13" fillId="0" borderId="70" xfId="0" applyFont="1" applyBorder="1" applyAlignment="1" applyProtection="1">
      <alignment horizontal="right" vertical="center"/>
      <protection locked="0"/>
    </xf>
    <xf numFmtId="0" fontId="13" fillId="0" borderId="71" xfId="0" applyFont="1" applyBorder="1" applyAlignment="1" applyProtection="1">
      <alignment horizontal="right" vertical="center"/>
      <protection locked="0"/>
    </xf>
    <xf numFmtId="0" fontId="13" fillId="0" borderId="72" xfId="0" applyFont="1" applyBorder="1" applyAlignment="1" applyProtection="1">
      <alignment horizontal="right" vertical="center"/>
      <protection locked="0"/>
    </xf>
    <xf numFmtId="0" fontId="4" fillId="2" borderId="0" xfId="0" applyFont="1" applyFill="1" applyAlignment="1">
      <alignment horizontal="left" vertical="center"/>
    </xf>
    <xf numFmtId="0" fontId="4" fillId="0" borderId="0" xfId="0" applyFont="1" applyAlignment="1" applyProtection="1">
      <alignment horizontal="center" vertical="center"/>
      <protection locked="0"/>
    </xf>
    <xf numFmtId="14" fontId="0" fillId="0" borderId="0" xfId="0" applyNumberFormat="1" applyAlignment="1">
      <alignment horizontal="center" vertical="center"/>
    </xf>
    <xf numFmtId="0" fontId="2" fillId="0" borderId="0" xfId="0" applyFont="1" applyAlignment="1">
      <alignment horizontal="right" vertical="center"/>
    </xf>
    <xf numFmtId="0" fontId="80" fillId="4" borderId="0" xfId="0" applyFont="1" applyFill="1" applyAlignment="1">
      <alignment horizontal="left" vertical="center" wrapText="1"/>
    </xf>
    <xf numFmtId="0" fontId="80" fillId="4" borderId="0" xfId="0" applyFont="1" applyFill="1" applyAlignment="1">
      <alignment horizontal="left" vertical="center"/>
    </xf>
    <xf numFmtId="0" fontId="28" fillId="0" borderId="70" xfId="8" applyFill="1" applyBorder="1" applyAlignment="1" applyProtection="1">
      <alignment horizontal="left" vertical="center" wrapText="1"/>
      <protection locked="0"/>
    </xf>
    <xf numFmtId="0" fontId="77" fillId="0" borderId="0" xfId="0" applyFont="1" applyAlignment="1">
      <alignment horizontal="center"/>
    </xf>
    <xf numFmtId="0" fontId="31" fillId="0" borderId="5" xfId="0" applyFont="1" applyBorder="1" applyAlignment="1" applyProtection="1">
      <alignment horizontal="center" vertical="center"/>
      <protection locked="0"/>
    </xf>
    <xf numFmtId="0" fontId="0" fillId="0" borderId="5" xfId="0" applyBorder="1" applyAlignment="1">
      <alignment horizontal="right" vertical="center"/>
    </xf>
    <xf numFmtId="0" fontId="32" fillId="0" borderId="5" xfId="0" applyFont="1" applyBorder="1" applyAlignment="1" applyProtection="1">
      <alignment horizontal="center" vertical="center"/>
      <protection locked="0"/>
    </xf>
    <xf numFmtId="0" fontId="72" fillId="0" borderId="0" xfId="0" applyFont="1" applyAlignment="1">
      <alignment horizont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0" fillId="0" borderId="74" xfId="0"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0" fillId="0" borderId="69" xfId="0" applyBorder="1" applyAlignment="1" applyProtection="1">
      <alignment horizontal="center" vertical="center"/>
      <protection locked="0"/>
    </xf>
    <xf numFmtId="0" fontId="90" fillId="0" borderId="69" xfId="0" applyFont="1" applyBorder="1" applyAlignment="1">
      <alignment horizontal="left" vertical="center" wrapText="1"/>
    </xf>
    <xf numFmtId="0" fontId="2" fillId="0" borderId="73" xfId="0" applyFont="1" applyBorder="1" applyAlignment="1">
      <alignment horizontal="right" vertical="top" wrapText="1"/>
    </xf>
    <xf numFmtId="0" fontId="90" fillId="0" borderId="70" xfId="0" applyFont="1" applyBorder="1" applyAlignment="1">
      <alignment horizontal="left" vertical="center" wrapText="1"/>
    </xf>
    <xf numFmtId="0" fontId="90" fillId="0" borderId="71" xfId="0" applyFont="1" applyBorder="1" applyAlignment="1">
      <alignment horizontal="left" vertical="center" wrapText="1"/>
    </xf>
    <xf numFmtId="0" fontId="90" fillId="0" borderId="72" xfId="0" applyFont="1" applyBorder="1" applyAlignment="1">
      <alignment horizontal="left" vertical="center" wrapText="1"/>
    </xf>
    <xf numFmtId="0" fontId="2" fillId="0" borderId="5" xfId="0" applyFont="1" applyBorder="1" applyAlignment="1">
      <alignment horizontal="right" vertical="top"/>
    </xf>
    <xf numFmtId="0" fontId="3" fillId="0" borderId="40" xfId="0" applyFont="1" applyBorder="1" applyAlignment="1">
      <alignment horizontal="center"/>
    </xf>
    <xf numFmtId="0" fontId="3" fillId="0" borderId="42" xfId="0" applyFont="1" applyBorder="1" applyAlignment="1">
      <alignment horizontal="center"/>
    </xf>
    <xf numFmtId="0" fontId="33" fillId="0" borderId="0" xfId="0" applyFont="1" applyAlignment="1" applyProtection="1">
      <alignment horizontal="center"/>
      <protection locked="0"/>
    </xf>
    <xf numFmtId="0" fontId="0" fillId="0" borderId="0" xfId="0" applyAlignment="1">
      <alignment horizontal="center" vertical="center"/>
    </xf>
    <xf numFmtId="0" fontId="0" fillId="4" borderId="10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5" fillId="4" borderId="109"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0" fillId="4" borderId="75" xfId="0" applyFill="1" applyBorder="1" applyAlignment="1">
      <alignment horizontal="right"/>
    </xf>
    <xf numFmtId="0" fontId="0" fillId="4" borderId="5" xfId="0" applyFill="1" applyBorder="1" applyAlignment="1">
      <alignment horizontal="right"/>
    </xf>
    <xf numFmtId="0" fontId="0" fillId="4" borderId="67" xfId="0" applyFill="1" applyBorder="1" applyAlignment="1">
      <alignment horizontal="right"/>
    </xf>
    <xf numFmtId="0" fontId="4" fillId="2" borderId="0" xfId="0" applyFont="1" applyFill="1" applyAlignment="1" applyProtection="1">
      <alignment horizontal="left" vertical="center"/>
      <protection hidden="1"/>
    </xf>
    <xf numFmtId="0" fontId="0" fillId="6" borderId="0" xfId="0" applyFill="1" applyAlignment="1" applyProtection="1">
      <alignment horizontal="center" vertical="center"/>
      <protection hidden="1"/>
    </xf>
    <xf numFmtId="0" fontId="2" fillId="3" borderId="5" xfId="0" applyFont="1" applyFill="1" applyBorder="1" applyAlignment="1" applyProtection="1">
      <alignment horizontal="center"/>
      <protection hidden="1"/>
    </xf>
    <xf numFmtId="0" fontId="0" fillId="8" borderId="0" xfId="0" applyFill="1" applyAlignment="1" applyProtection="1">
      <alignment horizontal="center" vertical="center"/>
      <protection hidden="1"/>
    </xf>
    <xf numFmtId="0" fontId="0" fillId="2" borderId="110"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11"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35" fillId="0" borderId="75" xfId="0" applyFont="1" applyBorder="1" applyAlignment="1" applyProtection="1">
      <alignment horizontal="center" vertical="center"/>
      <protection locked="0" hidden="1"/>
    </xf>
    <xf numFmtId="0" fontId="35" fillId="0" borderId="5" xfId="0" applyFont="1" applyBorder="1" applyAlignment="1" applyProtection="1">
      <alignment horizontal="center" vertical="center"/>
      <protection locked="0" hidden="1"/>
    </xf>
    <xf numFmtId="0" fontId="35" fillId="0" borderId="67" xfId="0" applyFont="1" applyBorder="1" applyAlignment="1" applyProtection="1">
      <alignment horizontal="center" vertical="center"/>
      <protection locked="0" hidden="1"/>
    </xf>
    <xf numFmtId="0" fontId="106" fillId="0" borderId="14" xfId="0" applyFont="1" applyBorder="1" applyAlignment="1" applyProtection="1">
      <alignment horizontal="right"/>
      <protection hidden="1"/>
    </xf>
    <xf numFmtId="0" fontId="106" fillId="0" borderId="68" xfId="0" applyFont="1" applyBorder="1" applyAlignment="1" applyProtection="1">
      <alignment horizontal="right"/>
      <protection hidden="1"/>
    </xf>
    <xf numFmtId="0" fontId="4" fillId="2" borderId="6" xfId="0" applyFont="1" applyFill="1" applyBorder="1" applyAlignment="1" applyProtection="1">
      <alignment horizontal="left" vertical="center"/>
      <protection hidden="1"/>
    </xf>
    <xf numFmtId="0" fontId="4" fillId="2" borderId="75" xfId="0" applyFont="1" applyFill="1" applyBorder="1" applyAlignment="1" applyProtection="1">
      <alignment horizontal="left" vertical="center"/>
      <protection hidden="1"/>
    </xf>
    <xf numFmtId="0" fontId="2" fillId="3" borderId="75" xfId="0" applyFont="1" applyFill="1" applyBorder="1" applyAlignment="1" applyProtection="1">
      <alignment horizontal="right"/>
      <protection hidden="1"/>
    </xf>
    <xf numFmtId="0" fontId="2" fillId="3" borderId="5" xfId="0" applyFont="1" applyFill="1" applyBorder="1" applyAlignment="1" applyProtection="1">
      <alignment horizontal="right"/>
      <protection hidden="1"/>
    </xf>
    <xf numFmtId="0" fontId="2" fillId="3" borderId="67" xfId="0" applyFont="1" applyFill="1" applyBorder="1" applyAlignment="1" applyProtection="1">
      <alignment horizont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protection locked="0" hidden="1"/>
    </xf>
    <xf numFmtId="0" fontId="44" fillId="0" borderId="0" xfId="0" applyFont="1" applyBorder="1" applyAlignment="1" applyProtection="1">
      <alignment horizontal="right"/>
      <protection hidden="1"/>
    </xf>
    <xf numFmtId="0" fontId="118" fillId="0" borderId="14" xfId="0" applyFont="1" applyBorder="1" applyAlignment="1" applyProtection="1">
      <alignment horizontal="left"/>
      <protection hidden="1"/>
    </xf>
    <xf numFmtId="0" fontId="25" fillId="13" borderId="164"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85" fillId="0" borderId="1" xfId="0" applyFont="1" applyBorder="1" applyAlignment="1">
      <alignment horizontal="center" vertical="center" textRotation="90" wrapText="1"/>
    </xf>
    <xf numFmtId="0" fontId="12" fillId="0" borderId="1" xfId="0" applyFont="1" applyBorder="1" applyAlignment="1">
      <alignment horizontal="left" vertical="center" wrapText="1"/>
    </xf>
    <xf numFmtId="0" fontId="28" fillId="0" borderId="109" xfId="8" applyBorder="1" applyAlignment="1">
      <alignment horizontal="center" vertical="center"/>
    </xf>
    <xf numFmtId="0" fontId="28" fillId="0" borderId="155" xfId="8" applyBorder="1" applyAlignment="1">
      <alignment horizontal="center" vertical="center"/>
    </xf>
    <xf numFmtId="0" fontId="28" fillId="0" borderId="30" xfId="8" applyBorder="1" applyAlignment="1">
      <alignment horizontal="center" vertic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6" borderId="8" xfId="0" applyFill="1" applyBorder="1" applyAlignment="1">
      <alignment horizontal="center" vertical="center"/>
    </xf>
    <xf numFmtId="0" fontId="0" fillId="6" borderId="0" xfId="0" applyFill="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12" fillId="0" borderId="1" xfId="0" applyFont="1" applyBorder="1" applyAlignment="1">
      <alignment horizontal="center" vertical="center" wrapText="1"/>
    </xf>
    <xf numFmtId="0" fontId="25" fillId="13" borderId="114" xfId="0" applyFont="1" applyFill="1" applyBorder="1" applyAlignment="1">
      <alignment horizontal="center" vertical="center" wrapText="1"/>
    </xf>
    <xf numFmtId="0" fontId="25" fillId="13" borderId="115" xfId="0" applyFont="1" applyFill="1" applyBorder="1" applyAlignment="1">
      <alignment horizontal="center" vertical="center" wrapText="1"/>
    </xf>
    <xf numFmtId="0" fontId="25" fillId="13" borderId="116"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5" fillId="13" borderId="113"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6" fillId="0" borderId="0" xfId="0" applyFont="1" applyAlignment="1" applyProtection="1">
      <alignment horizontal="left" vertical="top"/>
      <protection locked="0"/>
    </xf>
    <xf numFmtId="0" fontId="0" fillId="0" borderId="1" xfId="0" applyBorder="1" applyAlignment="1" applyProtection="1">
      <alignment horizontal="center"/>
      <protection locked="0"/>
    </xf>
    <xf numFmtId="0" fontId="0" fillId="8" borderId="1" xfId="0" applyFill="1" applyBorder="1" applyAlignment="1">
      <alignment horizontal="center"/>
    </xf>
    <xf numFmtId="0" fontId="0" fillId="2" borderId="0" xfId="0" applyFill="1" applyAlignment="1">
      <alignment horizontal="center" vertical="center"/>
    </xf>
    <xf numFmtId="0" fontId="0" fillId="0" borderId="0" xfId="0" applyAlignment="1" applyProtection="1">
      <alignment vertical="top" wrapText="1"/>
      <protection hidden="1"/>
    </xf>
    <xf numFmtId="0" fontId="0" fillId="0" borderId="0" xfId="0" applyAlignment="1" applyProtection="1">
      <alignment horizontal="left" vertical="top" wrapText="1"/>
      <protection hidden="1"/>
    </xf>
    <xf numFmtId="0" fontId="43" fillId="4" borderId="0" xfId="0" applyFont="1" applyFill="1" applyAlignment="1" applyProtection="1">
      <alignment horizontal="left" vertical="center" wrapText="1"/>
      <protection hidden="1"/>
    </xf>
    <xf numFmtId="39" fontId="44" fillId="4" borderId="0" xfId="0" applyNumberFormat="1" applyFont="1" applyFill="1" applyAlignment="1" applyProtection="1">
      <alignment horizontal="center" vertical="center" wrapText="1"/>
      <protection hidden="1"/>
    </xf>
    <xf numFmtId="0" fontId="40" fillId="23" borderId="96" xfId="0" applyFont="1" applyFill="1" applyBorder="1" applyAlignment="1" applyProtection="1">
      <alignment horizontal="center" vertical="center" wrapText="1"/>
      <protection hidden="1"/>
    </xf>
    <xf numFmtId="0" fontId="81" fillId="22" borderId="0" xfId="0" applyFont="1" applyFill="1" applyAlignment="1" applyProtection="1">
      <alignment horizontal="center" vertical="center" wrapText="1"/>
      <protection hidden="1"/>
    </xf>
    <xf numFmtId="0" fontId="81" fillId="22" borderId="76" xfId="0" applyFont="1" applyFill="1" applyBorder="1" applyAlignment="1" applyProtection="1">
      <alignment horizontal="center" vertical="center" wrapText="1"/>
      <protection hidden="1"/>
    </xf>
    <xf numFmtId="0" fontId="2" fillId="0" borderId="105" xfId="0" applyFont="1" applyBorder="1" applyAlignment="1" applyProtection="1">
      <alignment horizontal="center"/>
      <protection hidden="1"/>
    </xf>
    <xf numFmtId="0" fontId="2" fillId="0" borderId="106" xfId="0" applyFont="1" applyBorder="1" applyAlignment="1" applyProtection="1">
      <alignment horizontal="center"/>
      <protection hidden="1"/>
    </xf>
    <xf numFmtId="0" fontId="0" fillId="0" borderId="105" xfId="0"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0" fillId="27" borderId="46" xfId="0" applyFill="1" applyBorder="1" applyAlignment="1">
      <alignment horizontal="left"/>
    </xf>
    <xf numFmtId="0" fontId="0" fillId="27" borderId="0" xfId="0" applyFill="1" applyAlignment="1">
      <alignment horizontal="left"/>
    </xf>
    <xf numFmtId="0" fontId="42" fillId="0" borderId="77" xfId="0" applyFont="1" applyBorder="1" applyAlignment="1">
      <alignment horizontal="center" vertical="top"/>
    </xf>
    <xf numFmtId="0" fontId="42" fillId="0" borderId="80" xfId="0" applyFont="1" applyBorder="1" applyAlignment="1">
      <alignment horizontal="center" vertical="top"/>
    </xf>
    <xf numFmtId="0" fontId="42" fillId="0" borderId="89" xfId="0" applyFont="1" applyBorder="1" applyAlignment="1">
      <alignment horizontal="center" vertical="top"/>
    </xf>
    <xf numFmtId="0" fontId="0" fillId="0" borderId="84" xfId="0" applyBorder="1" applyAlignment="1">
      <alignment horizontal="left"/>
    </xf>
    <xf numFmtId="0" fontId="0" fillId="0" borderId="85" xfId="0" applyBorder="1" applyAlignment="1">
      <alignment horizontal="left"/>
    </xf>
    <xf numFmtId="0" fontId="0" fillId="0" borderId="87" xfId="0" applyBorder="1" applyAlignment="1">
      <alignment horizontal="left"/>
    </xf>
    <xf numFmtId="0" fontId="0" fillId="0" borderId="88" xfId="0" applyBorder="1" applyAlignment="1">
      <alignment horizontal="left"/>
    </xf>
    <xf numFmtId="0" fontId="0" fillId="0" borderId="90" xfId="0" applyBorder="1" applyAlignment="1">
      <alignment horizontal="left"/>
    </xf>
    <xf numFmtId="0" fontId="0" fillId="0" borderId="91" xfId="0" applyBorder="1" applyAlignment="1">
      <alignment horizontal="left"/>
    </xf>
    <xf numFmtId="0" fontId="42" fillId="0" borderId="93" xfId="0" applyFont="1" applyBorder="1" applyAlignment="1">
      <alignment horizontal="center" vertical="top"/>
    </xf>
    <xf numFmtId="0" fontId="42" fillId="0" borderId="94" xfId="0" applyFont="1" applyBorder="1" applyAlignment="1">
      <alignment horizontal="center" vertical="top"/>
    </xf>
    <xf numFmtId="0" fontId="42" fillId="0" borderId="95" xfId="0" applyFont="1" applyBorder="1" applyAlignment="1">
      <alignment horizontal="center" vertical="top"/>
    </xf>
    <xf numFmtId="0" fontId="0" fillId="0" borderId="86" xfId="0" applyBorder="1" applyAlignment="1">
      <alignment horizontal="left"/>
    </xf>
    <xf numFmtId="0" fontId="0" fillId="0" borderId="81" xfId="0" applyBorder="1" applyAlignment="1">
      <alignment horizontal="left"/>
    </xf>
    <xf numFmtId="0" fontId="0" fillId="0" borderId="92" xfId="0" applyBorder="1" applyAlignment="1">
      <alignment horizontal="left"/>
    </xf>
    <xf numFmtId="0" fontId="0" fillId="0" borderId="124" xfId="0" applyBorder="1" applyAlignment="1" applyProtection="1">
      <alignment horizontal="left" vertical="top" wrapText="1"/>
      <protection locked="0"/>
    </xf>
    <xf numFmtId="0" fontId="33" fillId="2" borderId="6" xfId="0" applyFont="1" applyFill="1" applyBorder="1" applyAlignment="1">
      <alignment horizontal="center" vertical="center"/>
    </xf>
    <xf numFmtId="0" fontId="4" fillId="2" borderId="9" xfId="0" applyFont="1" applyFill="1" applyBorder="1" applyAlignment="1">
      <alignment horizontal="left" vertical="center"/>
    </xf>
    <xf numFmtId="0" fontId="4" fillId="2" borderId="9" xfId="0" applyFont="1" applyFill="1" applyBorder="1" applyAlignment="1">
      <alignment horizontal="center" vertical="center"/>
    </xf>
    <xf numFmtId="0" fontId="4" fillId="2" borderId="112" xfId="0" applyFont="1" applyFill="1" applyBorder="1" applyAlignment="1">
      <alignment horizontal="center" vertical="center"/>
    </xf>
    <xf numFmtId="0" fontId="103" fillId="0" borderId="139" xfId="0" applyFont="1" applyBorder="1" applyAlignment="1" applyProtection="1">
      <alignment horizontal="center" vertical="center"/>
      <protection locked="0"/>
    </xf>
    <xf numFmtId="0" fontId="2" fillId="0" borderId="136" xfId="0" applyFont="1" applyBorder="1" applyAlignment="1" applyProtection="1">
      <alignment horizontal="right"/>
      <protection hidden="1"/>
    </xf>
    <xf numFmtId="0" fontId="103" fillId="0" borderId="96" xfId="0" applyFont="1" applyBorder="1" applyAlignment="1">
      <alignment horizontal="center" vertical="center"/>
    </xf>
    <xf numFmtId="0" fontId="103" fillId="0" borderId="139" xfId="0" applyFont="1" applyBorder="1" applyAlignment="1">
      <alignment horizontal="center" vertical="center"/>
    </xf>
    <xf numFmtId="0" fontId="104" fillId="0" borderId="141" xfId="0" applyFont="1" applyBorder="1" applyAlignment="1" applyProtection="1">
      <alignment horizontal="center" vertical="center" wrapText="1"/>
      <protection locked="0"/>
    </xf>
    <xf numFmtId="0" fontId="104" fillId="0" borderId="139" xfId="0" applyFont="1" applyBorder="1" applyAlignment="1" applyProtection="1">
      <alignment horizontal="center" vertical="center" wrapText="1"/>
      <protection locked="0"/>
    </xf>
    <xf numFmtId="0" fontId="6" fillId="0" borderId="96" xfId="0" applyFont="1" applyBorder="1" applyAlignment="1" applyProtection="1">
      <alignment horizontal="center" vertical="center" wrapText="1"/>
      <protection locked="0"/>
    </xf>
    <xf numFmtId="0" fontId="6" fillId="0" borderId="139" xfId="0" applyFont="1"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protection hidden="1"/>
    </xf>
    <xf numFmtId="0" fontId="96" fillId="0" borderId="0" xfId="0" applyFont="1" applyAlignment="1" applyProtection="1">
      <alignment horizontal="center" vertical="center"/>
      <protection hidden="1"/>
    </xf>
    <xf numFmtId="0" fontId="43" fillId="4" borderId="0" xfId="0" applyFont="1" applyFill="1" applyAlignment="1" applyProtection="1">
      <alignment horizontal="center" vertical="center" wrapText="1"/>
      <protection hidden="1"/>
    </xf>
    <xf numFmtId="0" fontId="2" fillId="4" borderId="0" xfId="0" applyFont="1" applyFill="1" applyAlignment="1" applyProtection="1">
      <alignment horizontal="center" vertical="center"/>
      <protection hidden="1"/>
    </xf>
    <xf numFmtId="0" fontId="95" fillId="0" borderId="0" xfId="0" applyFont="1" applyAlignment="1" applyProtection="1">
      <alignment horizontal="center" vertical="center"/>
      <protection hidden="1"/>
    </xf>
    <xf numFmtId="0" fontId="2" fillId="0" borderId="132" xfId="0" applyFont="1" applyBorder="1" applyAlignment="1" applyProtection="1">
      <alignment horizontal="right"/>
      <protection hidden="1"/>
    </xf>
    <xf numFmtId="0" fontId="2" fillId="0" borderId="133" xfId="0" applyFont="1" applyBorder="1" applyAlignment="1" applyProtection="1">
      <alignment horizontal="right"/>
      <protection hidden="1"/>
    </xf>
    <xf numFmtId="0" fontId="0" fillId="2" borderId="0" xfId="0" applyFill="1" applyBorder="1" applyAlignment="1" applyProtection="1">
      <alignment horizontal="center"/>
      <protection hidden="1"/>
    </xf>
    <xf numFmtId="0" fontId="111" fillId="0" borderId="149" xfId="0" applyFont="1" applyBorder="1" applyAlignment="1" applyProtection="1">
      <alignment horizontal="left"/>
      <protection hidden="1"/>
    </xf>
    <xf numFmtId="0" fontId="111" fillId="0" borderId="150" xfId="0" applyFont="1" applyBorder="1" applyAlignment="1" applyProtection="1">
      <alignment horizontal="left"/>
      <protection hidden="1"/>
    </xf>
    <xf numFmtId="0" fontId="111" fillId="0" borderId="151" xfId="0" applyFont="1" applyBorder="1" applyAlignment="1" applyProtection="1">
      <alignment horizontal="left"/>
      <protection hidden="1"/>
    </xf>
    <xf numFmtId="0" fontId="112" fillId="0" borderId="149" xfId="0" applyFont="1" applyBorder="1" applyAlignment="1" applyProtection="1">
      <alignment horizontal="left"/>
      <protection hidden="1"/>
    </xf>
    <xf numFmtId="0" fontId="112" fillId="0" borderId="150" xfId="0" applyFont="1" applyBorder="1" applyAlignment="1" applyProtection="1">
      <alignment horizontal="left"/>
      <protection hidden="1"/>
    </xf>
    <xf numFmtId="0" fontId="112" fillId="0" borderId="151" xfId="0" applyFont="1" applyBorder="1" applyAlignment="1" applyProtection="1">
      <alignment horizontal="left"/>
      <protection hidden="1"/>
    </xf>
    <xf numFmtId="0" fontId="4" fillId="2" borderId="143" xfId="0" applyFont="1" applyFill="1" applyBorder="1" applyAlignment="1" applyProtection="1">
      <alignment horizontal="left" vertical="center"/>
      <protection hidden="1"/>
    </xf>
    <xf numFmtId="0" fontId="2" fillId="0" borderId="144" xfId="0" applyFont="1" applyBorder="1" applyAlignment="1" applyProtection="1">
      <alignment horizontal="right"/>
      <protection hidden="1"/>
    </xf>
    <xf numFmtId="0" fontId="2" fillId="0" borderId="145" xfId="0" applyFont="1" applyBorder="1" applyAlignment="1" applyProtection="1">
      <alignment horizontal="right" indent="1"/>
      <protection hidden="1"/>
    </xf>
    <xf numFmtId="0" fontId="2" fillId="0" borderId="146" xfId="0" applyFont="1" applyBorder="1" applyAlignment="1" applyProtection="1">
      <alignment horizontal="right" indent="1"/>
      <protection hidden="1"/>
    </xf>
    <xf numFmtId="0" fontId="2" fillId="0" borderId="147" xfId="0" applyFont="1" applyBorder="1" applyAlignment="1" applyProtection="1">
      <alignment horizontal="right" indent="1"/>
      <protection hidden="1"/>
    </xf>
    <xf numFmtId="0" fontId="0" fillId="0" borderId="0" xfId="0" applyAlignment="1" applyProtection="1">
      <alignment horizontal="center" vertical="top" wrapText="1"/>
      <protection hidden="1"/>
    </xf>
    <xf numFmtId="0" fontId="0" fillId="0" borderId="148" xfId="0" applyBorder="1" applyAlignment="1" applyProtection="1">
      <alignment horizontal="left"/>
      <protection hidden="1"/>
    </xf>
    <xf numFmtId="0" fontId="0" fillId="0" borderId="0" xfId="0" applyAlignment="1" applyProtection="1">
      <alignment horizontal="left"/>
      <protection hidden="1"/>
    </xf>
    <xf numFmtId="0" fontId="107" fillId="30" borderId="0" xfId="0" applyFont="1" applyFill="1" applyAlignment="1" applyProtection="1">
      <alignment horizontal="center" vertical="center"/>
      <protection hidden="1"/>
    </xf>
    <xf numFmtId="0" fontId="4" fillId="2" borderId="149" xfId="0" applyFont="1" applyFill="1" applyBorder="1" applyAlignment="1" applyProtection="1">
      <alignment horizontal="left" vertical="center"/>
      <protection hidden="1"/>
    </xf>
    <xf numFmtId="0" fontId="4" fillId="2" borderId="150" xfId="0" applyFont="1" applyFill="1" applyBorder="1" applyAlignment="1" applyProtection="1">
      <alignment horizontal="left" vertical="center"/>
      <protection hidden="1"/>
    </xf>
    <xf numFmtId="0" fontId="4" fillId="2" borderId="151" xfId="0" applyFont="1" applyFill="1" applyBorder="1" applyAlignment="1" applyProtection="1">
      <alignment horizontal="left" vertical="center"/>
      <protection hidden="1"/>
    </xf>
    <xf numFmtId="44" fontId="3" fillId="2" borderId="149" xfId="2" applyFont="1" applyFill="1" applyBorder="1" applyAlignment="1" applyProtection="1">
      <alignment horizontal="center" vertical="center"/>
      <protection hidden="1"/>
    </xf>
    <xf numFmtId="44" fontId="3" fillId="2" borderId="150" xfId="2" applyFont="1" applyFill="1" applyBorder="1" applyAlignment="1" applyProtection="1">
      <alignment horizontal="center" vertical="center"/>
      <protection hidden="1"/>
    </xf>
    <xf numFmtId="44" fontId="3" fillId="2" borderId="151" xfId="2" applyFont="1" applyFill="1" applyBorder="1" applyAlignment="1" applyProtection="1">
      <alignment horizontal="center" vertical="center"/>
      <protection hidden="1"/>
    </xf>
    <xf numFmtId="0" fontId="0" fillId="0" borderId="148" xfId="0" applyBorder="1" applyAlignment="1" applyProtection="1">
      <alignment horizontal="center" vertical="top" wrapText="1"/>
      <protection hidden="1"/>
    </xf>
    <xf numFmtId="0" fontId="15" fillId="9" borderId="17" xfId="3" applyFill="1" applyBorder="1" applyAlignment="1" applyProtection="1">
      <alignment horizontal="center"/>
    </xf>
    <xf numFmtId="0" fontId="15" fillId="9" borderId="5" xfId="3" applyFill="1" applyBorder="1" applyAlignment="1" applyProtection="1">
      <alignment horizontal="center"/>
    </xf>
    <xf numFmtId="0" fontId="15" fillId="9" borderId="16" xfId="3" applyFill="1" applyBorder="1" applyAlignment="1" applyProtection="1">
      <alignment horizontal="center"/>
    </xf>
    <xf numFmtId="0" fontId="16" fillId="9" borderId="0" xfId="3" applyFont="1" applyFill="1" applyAlignment="1" applyProtection="1">
      <alignment horizontal="left" vertical="center"/>
    </xf>
    <xf numFmtId="0" fontId="15" fillId="9" borderId="2" xfId="3" applyFill="1" applyBorder="1" applyAlignment="1" applyProtection="1">
      <alignment horizontal="center"/>
    </xf>
    <xf numFmtId="0" fontId="121" fillId="9" borderId="0" xfId="3" applyFont="1" applyFill="1" applyAlignment="1">
      <alignment horizontal="left" vertical="top" wrapText="1"/>
    </xf>
    <xf numFmtId="0" fontId="117" fillId="0" borderId="161" xfId="0" applyFont="1" applyBorder="1" applyAlignment="1" applyProtection="1">
      <alignment horizontal="center" vertical="center"/>
      <protection hidden="1"/>
    </xf>
    <xf numFmtId="0" fontId="117" fillId="0" borderId="162" xfId="0" applyFont="1" applyBorder="1" applyAlignment="1" applyProtection="1">
      <alignment horizontal="center" vertical="center"/>
      <protection hidden="1"/>
    </xf>
    <xf numFmtId="0" fontId="117" fillId="0" borderId="163" xfId="0" applyFont="1" applyBorder="1" applyAlignment="1" applyProtection="1">
      <alignment horizontal="center" vertical="center"/>
      <protection hidden="1"/>
    </xf>
    <xf numFmtId="0" fontId="0" fillId="0" borderId="48" xfId="0" applyBorder="1" applyAlignment="1" applyProtection="1">
      <alignment horizontal="center" vertical="center" wrapText="1"/>
      <protection hidden="1"/>
    </xf>
    <xf numFmtId="0" fontId="0" fillId="0" borderId="49" xfId="0" applyBorder="1" applyAlignment="1" applyProtection="1">
      <alignment horizontal="center" vertical="center" wrapText="1"/>
      <protection hidden="1"/>
    </xf>
    <xf numFmtId="0" fontId="0" fillId="0" borderId="49"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0" fontId="93" fillId="0" borderId="40" xfId="0" applyFont="1" applyBorder="1" applyAlignment="1" applyProtection="1">
      <alignment horizontal="left" vertical="center"/>
      <protection hidden="1"/>
    </xf>
    <xf numFmtId="0" fontId="93" fillId="0" borderId="41" xfId="0" applyFont="1" applyBorder="1" applyAlignment="1" applyProtection="1">
      <alignment horizontal="left" vertical="center"/>
      <protection hidden="1"/>
    </xf>
    <xf numFmtId="0" fontId="0" fillId="0" borderId="43" xfId="0" applyBorder="1" applyAlignment="1" applyProtection="1">
      <alignment horizontal="center" vertical="center" wrapText="1"/>
      <protection hidden="1"/>
    </xf>
    <xf numFmtId="0" fontId="0" fillId="0" borderId="44" xfId="0" applyBorder="1" applyAlignment="1" applyProtection="1">
      <alignment horizontal="center" vertical="center" wrapText="1"/>
      <protection hidden="1"/>
    </xf>
    <xf numFmtId="0" fontId="0" fillId="0" borderId="44" xfId="0"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46"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47" xfId="0" applyBorder="1" applyAlignment="1" applyProtection="1">
      <alignment horizontal="left" vertical="center"/>
      <protection hidden="1"/>
    </xf>
    <xf numFmtId="0" fontId="115" fillId="9" borderId="1" xfId="0" applyFont="1" applyFill="1" applyBorder="1" applyAlignment="1" applyProtection="1">
      <alignment horizontal="left" vertical="center"/>
    </xf>
    <xf numFmtId="0" fontId="113" fillId="9" borderId="155" xfId="0" applyFont="1" applyFill="1" applyBorder="1" applyAlignment="1" applyProtection="1">
      <alignment horizontal="center" vertical="top" wrapText="1"/>
    </xf>
    <xf numFmtId="14" fontId="115" fillId="5" borderId="58" xfId="0" applyNumberFormat="1" applyFont="1" applyFill="1" applyBorder="1" applyAlignment="1" applyProtection="1">
      <alignment horizontal="center" vertical="center"/>
      <protection locked="0"/>
    </xf>
    <xf numFmtId="14" fontId="115" fillId="5" borderId="152" xfId="0" applyNumberFormat="1" applyFont="1" applyFill="1" applyBorder="1" applyAlignment="1" applyProtection="1">
      <alignment horizontal="center" vertical="center"/>
      <protection locked="0"/>
    </xf>
    <xf numFmtId="0" fontId="114" fillId="9" borderId="52" xfId="0" applyFont="1" applyFill="1" applyBorder="1" applyAlignment="1" applyProtection="1">
      <alignment horizontal="center" vertical="center"/>
    </xf>
    <xf numFmtId="0" fontId="114" fillId="9" borderId="55" xfId="0" applyFont="1" applyFill="1" applyBorder="1" applyAlignment="1" applyProtection="1">
      <alignment horizontal="center" vertical="center"/>
    </xf>
    <xf numFmtId="0" fontId="114" fillId="9" borderId="153" xfId="0" applyFont="1" applyFill="1" applyBorder="1" applyAlignment="1" applyProtection="1">
      <alignment horizontal="center" vertical="center"/>
    </xf>
    <xf numFmtId="0" fontId="113" fillId="9" borderId="53" xfId="0" applyFont="1" applyFill="1" applyBorder="1" applyAlignment="1" applyProtection="1">
      <alignment horizontal="center" vertical="center" wrapText="1"/>
    </xf>
    <xf numFmtId="0" fontId="113" fillId="9" borderId="1" xfId="0" applyFont="1" applyFill="1" applyBorder="1" applyAlignment="1" applyProtection="1">
      <alignment horizontal="center" vertical="center" wrapText="1"/>
    </xf>
    <xf numFmtId="0" fontId="113" fillId="9" borderId="109" xfId="0" applyFont="1" applyFill="1" applyBorder="1" applyAlignment="1" applyProtection="1">
      <alignment horizontal="center" vertical="center" wrapText="1"/>
    </xf>
    <xf numFmtId="0" fontId="115" fillId="9" borderId="53" xfId="0" applyFont="1" applyFill="1" applyBorder="1" applyAlignment="1" applyProtection="1">
      <alignment horizontal="left" vertical="center"/>
    </xf>
    <xf numFmtId="0" fontId="115" fillId="9" borderId="1" xfId="0" applyFont="1" applyFill="1" applyBorder="1" applyAlignment="1" applyProtection="1">
      <alignment horizontal="left"/>
    </xf>
    <xf numFmtId="0" fontId="115" fillId="9" borderId="109" xfId="0" applyFont="1" applyFill="1" applyBorder="1" applyAlignment="1" applyProtection="1">
      <alignment horizontal="left"/>
    </xf>
    <xf numFmtId="0" fontId="115" fillId="5" borderId="109" xfId="0" applyFont="1" applyFill="1" applyBorder="1" applyAlignment="1" applyProtection="1">
      <alignment horizontal="left" vertical="center"/>
      <protection locked="0"/>
    </xf>
    <xf numFmtId="0" fontId="115" fillId="5" borderId="61" xfId="0" applyFont="1" applyFill="1" applyBorder="1" applyAlignment="1" applyProtection="1">
      <alignment horizontal="left" vertical="center"/>
      <protection locked="0"/>
    </xf>
    <xf numFmtId="0" fontId="113" fillId="4" borderId="52" xfId="0" applyFont="1" applyFill="1" applyBorder="1" applyAlignment="1" applyProtection="1">
      <alignment horizontal="center" vertical="center"/>
    </xf>
    <xf numFmtId="0" fontId="113" fillId="4" borderId="53" xfId="0" applyFont="1" applyFill="1" applyBorder="1" applyAlignment="1" applyProtection="1">
      <alignment horizontal="center" vertical="center"/>
    </xf>
    <xf numFmtId="0" fontId="113" fillId="4" borderId="54" xfId="0" applyFont="1" applyFill="1" applyBorder="1" applyAlignment="1" applyProtection="1">
      <alignment horizontal="center" vertical="center"/>
    </xf>
    <xf numFmtId="0" fontId="113" fillId="4" borderId="57" xfId="0" applyFont="1" applyFill="1" applyBorder="1" applyAlignment="1" applyProtection="1">
      <alignment horizontal="center" vertical="center"/>
    </xf>
    <xf numFmtId="0" fontId="113" fillId="4" borderId="58" xfId="0" applyFont="1" applyFill="1" applyBorder="1" applyAlignment="1" applyProtection="1">
      <alignment horizontal="center" vertical="center"/>
    </xf>
    <xf numFmtId="0" fontId="113" fillId="4" borderId="152" xfId="0" applyFont="1" applyFill="1" applyBorder="1" applyAlignment="1" applyProtection="1">
      <alignment horizontal="center" vertical="center"/>
    </xf>
    <xf numFmtId="0" fontId="113" fillId="9" borderId="53" xfId="0" applyFont="1" applyFill="1" applyBorder="1" applyAlignment="1" applyProtection="1">
      <alignment horizontal="center" wrapText="1"/>
    </xf>
    <xf numFmtId="0" fontId="113" fillId="9" borderId="1" xfId="0" applyFont="1" applyFill="1" applyBorder="1" applyAlignment="1" applyProtection="1">
      <alignment horizontal="center" wrapText="1"/>
    </xf>
    <xf numFmtId="0" fontId="113" fillId="9" borderId="109" xfId="0" applyFont="1" applyFill="1" applyBorder="1" applyAlignment="1" applyProtection="1">
      <alignment horizontal="center" wrapText="1"/>
    </xf>
    <xf numFmtId="0" fontId="116" fillId="5" borderId="53" xfId="0" applyFont="1" applyFill="1" applyBorder="1" applyAlignment="1" applyProtection="1">
      <alignment horizontal="left" vertical="top" wrapText="1"/>
      <protection locked="0"/>
    </xf>
    <xf numFmtId="0" fontId="116" fillId="5" borderId="54" xfId="0" applyFont="1" applyFill="1" applyBorder="1" applyAlignment="1" applyProtection="1">
      <alignment horizontal="left" vertical="top" wrapText="1"/>
      <protection locked="0"/>
    </xf>
    <xf numFmtId="0" fontId="116" fillId="5" borderId="1" xfId="0" applyFont="1" applyFill="1" applyBorder="1" applyAlignment="1" applyProtection="1">
      <alignment horizontal="left" vertical="top" wrapText="1"/>
      <protection locked="0"/>
    </xf>
    <xf numFmtId="0" fontId="116" fillId="5" borderId="56" xfId="0" applyFont="1" applyFill="1" applyBorder="1" applyAlignment="1" applyProtection="1">
      <alignment horizontal="left" vertical="top" wrapText="1"/>
      <protection locked="0"/>
    </xf>
    <xf numFmtId="0" fontId="116" fillId="5" borderId="109" xfId="0" applyFont="1" applyFill="1" applyBorder="1" applyAlignment="1" applyProtection="1">
      <alignment horizontal="left" vertical="top" wrapText="1"/>
      <protection locked="0"/>
    </xf>
    <xf numFmtId="0" fontId="116" fillId="5" borderId="61" xfId="0" applyFont="1" applyFill="1" applyBorder="1" applyAlignment="1" applyProtection="1">
      <alignment horizontal="left" vertical="top" wrapText="1"/>
      <protection locked="0"/>
    </xf>
    <xf numFmtId="0" fontId="114" fillId="9" borderId="100" xfId="0" applyFont="1" applyFill="1" applyBorder="1" applyAlignment="1" applyProtection="1">
      <alignment horizontal="center" vertical="center"/>
    </xf>
    <xf numFmtId="0" fontId="114" fillId="9" borderId="101" xfId="0" applyFont="1" applyFill="1" applyBorder="1" applyAlignment="1" applyProtection="1">
      <alignment horizontal="center" vertical="center"/>
    </xf>
    <xf numFmtId="0" fontId="114" fillId="9" borderId="102" xfId="0" applyFont="1" applyFill="1" applyBorder="1" applyAlignment="1" applyProtection="1">
      <alignment horizontal="center" vertical="center"/>
    </xf>
    <xf numFmtId="0" fontId="113" fillId="9" borderId="154" xfId="0" applyFont="1" applyFill="1" applyBorder="1" applyAlignment="1" applyProtection="1">
      <alignment horizontal="center" vertical="center" wrapText="1"/>
    </xf>
    <xf numFmtId="0" fontId="113" fillId="9" borderId="155" xfId="0" applyFont="1" applyFill="1" applyBorder="1" applyAlignment="1" applyProtection="1">
      <alignment horizontal="center" vertical="center" wrapText="1"/>
    </xf>
    <xf numFmtId="0" fontId="113" fillId="9" borderId="156" xfId="0" applyFont="1" applyFill="1" applyBorder="1" applyAlignment="1" applyProtection="1">
      <alignment horizontal="center" vertical="center" wrapText="1"/>
    </xf>
    <xf numFmtId="0" fontId="115" fillId="11" borderId="53" xfId="0" applyFont="1" applyFill="1" applyBorder="1" applyAlignment="1" applyProtection="1">
      <alignment horizontal="center"/>
    </xf>
    <xf numFmtId="0" fontId="115" fillId="9" borderId="53" xfId="0" applyFont="1" applyFill="1" applyBorder="1" applyAlignment="1" applyProtection="1">
      <alignment horizontal="center"/>
    </xf>
    <xf numFmtId="0" fontId="115" fillId="9" borderId="54" xfId="0" applyFont="1" applyFill="1" applyBorder="1" applyAlignment="1" applyProtection="1">
      <alignment horizontal="center"/>
    </xf>
    <xf numFmtId="14" fontId="115" fillId="5" borderId="1" xfId="0" applyNumberFormat="1" applyFont="1" applyFill="1" applyBorder="1" applyAlignment="1" applyProtection="1">
      <alignment horizontal="center" vertical="center"/>
      <protection locked="0"/>
    </xf>
    <xf numFmtId="14" fontId="115" fillId="5" borderId="56" xfId="0" applyNumberFormat="1" applyFont="1" applyFill="1" applyBorder="1" applyAlignment="1" applyProtection="1">
      <alignment horizontal="center" vertical="center"/>
      <protection locked="0"/>
    </xf>
    <xf numFmtId="0" fontId="115" fillId="9" borderId="157" xfId="0" applyFont="1" applyFill="1" applyBorder="1" applyAlignment="1" applyProtection="1">
      <alignment horizontal="left"/>
    </xf>
    <xf numFmtId="0" fontId="115" fillId="9" borderId="158" xfId="0" applyFont="1" applyFill="1" applyBorder="1" applyAlignment="1" applyProtection="1">
      <alignment horizontal="left"/>
    </xf>
    <xf numFmtId="0" fontId="115" fillId="5" borderId="157" xfId="0" applyFont="1" applyFill="1" applyBorder="1" applyAlignment="1" applyProtection="1">
      <alignment horizontal="center"/>
      <protection locked="0"/>
    </xf>
    <xf numFmtId="0" fontId="115" fillId="5" borderId="158" xfId="0" applyFont="1" applyFill="1" applyBorder="1" applyAlignment="1" applyProtection="1">
      <alignment horizontal="center"/>
      <protection locked="0"/>
    </xf>
    <xf numFmtId="0" fontId="115" fillId="5" borderId="159" xfId="0" applyFont="1" applyFill="1" applyBorder="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top" wrapText="1"/>
      <protection locked="0"/>
    </xf>
    <xf numFmtId="0" fontId="2" fillId="0" borderId="0" xfId="0" applyFont="1" applyAlignment="1" applyProtection="1">
      <alignment horizontal="left"/>
      <protection locked="0"/>
    </xf>
    <xf numFmtId="0" fontId="113" fillId="9" borderId="154" xfId="0" applyFont="1" applyFill="1" applyBorder="1" applyAlignment="1" applyProtection="1">
      <alignment horizontal="center" vertical="top" wrapText="1"/>
    </xf>
    <xf numFmtId="0" fontId="115" fillId="5" borderId="54" xfId="0" applyFont="1" applyFill="1" applyBorder="1" applyAlignment="1" applyProtection="1">
      <alignment horizontal="center" vertical="center"/>
      <protection locked="0"/>
    </xf>
    <xf numFmtId="0" fontId="115" fillId="5" borderId="56" xfId="0" applyFont="1" applyFill="1" applyBorder="1" applyAlignment="1" applyProtection="1">
      <alignment horizontal="center" vertical="center"/>
      <protection locked="0"/>
    </xf>
    <xf numFmtId="0" fontId="114" fillId="9" borderId="57" xfId="0" applyFont="1" applyFill="1" applyBorder="1" applyAlignment="1" applyProtection="1">
      <alignment horizontal="center" vertical="center"/>
    </xf>
    <xf numFmtId="0" fontId="113" fillId="9" borderId="156" xfId="0" applyFont="1" applyFill="1" applyBorder="1" applyAlignment="1" applyProtection="1">
      <alignment horizontal="center" vertical="top" wrapText="1"/>
    </xf>
    <xf numFmtId="0" fontId="115" fillId="9" borderId="157" xfId="0" applyFont="1" applyFill="1" applyBorder="1" applyAlignment="1" applyProtection="1">
      <alignment horizontal="left" vertical="top" wrapText="1"/>
    </xf>
    <xf numFmtId="0" fontId="115" fillId="9" borderId="159" xfId="0" applyFont="1" applyFill="1" applyBorder="1" applyAlignment="1" applyProtection="1">
      <alignment horizontal="left" vertical="top" wrapText="1"/>
    </xf>
    <xf numFmtId="0" fontId="115" fillId="5" borderId="157" xfId="0" applyFont="1" applyFill="1" applyBorder="1" applyAlignment="1" applyProtection="1">
      <alignment horizontal="left" vertical="top" wrapText="1"/>
      <protection locked="0"/>
    </xf>
    <xf numFmtId="0" fontId="115" fillId="5" borderId="158" xfId="0" applyFont="1" applyFill="1" applyBorder="1" applyAlignment="1" applyProtection="1">
      <alignment horizontal="left" vertical="top" wrapText="1"/>
      <protection locked="0"/>
    </xf>
    <xf numFmtId="0" fontId="115" fillId="5" borderId="165" xfId="0" applyFont="1" applyFill="1" applyBorder="1" applyAlignment="1" applyProtection="1">
      <alignment horizontal="left" vertical="top" wrapText="1"/>
      <protection locked="0"/>
    </xf>
  </cellXfs>
  <cellStyles count="9">
    <cellStyle name="Hiperligação" xfId="8" builtinId="8"/>
    <cellStyle name="Moeda" xfId="2" builtinId="4"/>
    <cellStyle name="Moeda 2" xfId="7" xr:uid="{00000000-0005-0000-0000-000032000000}"/>
    <cellStyle name="Normal" xfId="0" builtinId="0"/>
    <cellStyle name="Normal 2" xfId="3" xr:uid="{EF246044-7E79-4F09-9501-F6F28649F2D2}"/>
    <cellStyle name="Normal 2 2" xfId="4" xr:uid="{00000000-0005-0000-0000-000002000000}"/>
    <cellStyle name="Percentagem" xfId="1" builtinId="5"/>
    <cellStyle name="Percentagem 2" xfId="5" xr:uid="{00000000-0005-0000-0000-000004000000}"/>
    <cellStyle name="Vírgula 2" xfId="6" xr:uid="{00000000-0005-0000-0000-000035000000}"/>
  </cellStyles>
  <dxfs count="470">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theme="4" tint="0.59996337778862885"/>
      </font>
      <fill>
        <patternFill>
          <bgColor theme="4" tint="0.59996337778862885"/>
        </patternFill>
      </fill>
    </dxf>
    <dxf>
      <font>
        <color theme="0"/>
      </font>
      <fill>
        <patternFill>
          <bgColor theme="0"/>
        </patternFill>
      </fill>
    </dxf>
    <dxf>
      <font>
        <color rgb="FF9C0006"/>
      </font>
      <fill>
        <patternFill>
          <bgColor rgb="FFFFC7CE"/>
        </patternFill>
      </fill>
    </dxf>
    <dxf>
      <font>
        <color theme="4" tint="0.59996337778862885"/>
      </font>
      <fill>
        <patternFill>
          <bgColor theme="4" tint="0.59996337778862885"/>
        </patternFill>
      </fill>
    </dxf>
    <dxf>
      <font>
        <color theme="0"/>
      </font>
      <fill>
        <patternFill>
          <bgColor theme="0"/>
        </patternFill>
      </fill>
    </dxf>
    <dxf>
      <fill>
        <patternFill>
          <bgColor rgb="FFFFFF00"/>
        </patternFill>
      </fill>
    </dxf>
    <dxf>
      <font>
        <color theme="0" tint="-0.14996795556505021"/>
      </font>
      <fill>
        <patternFill>
          <bgColor theme="0"/>
        </patternFill>
      </fill>
    </dxf>
    <dxf>
      <fill>
        <patternFill>
          <bgColor theme="5" tint="0.39994506668294322"/>
        </patternFill>
      </fill>
    </dxf>
    <dxf>
      <fill>
        <patternFill>
          <bgColor theme="5" tint="0.39994506668294322"/>
        </patternFill>
      </fill>
    </dxf>
    <dxf>
      <font>
        <color theme="0"/>
      </font>
      <fill>
        <patternFill>
          <bgColor theme="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rgb="FF0070C0"/>
        <name val="Calibri"/>
        <scheme val="minor"/>
      </font>
      <numFmt numFmtId="0" formatCode="General"/>
      <fill>
        <patternFill patternType="solid">
          <fgColor indexed="64"/>
          <bgColor theme="0" tint="-0.249977111117893"/>
        </patternFill>
      </fill>
      <protection locked="0" hidden="0"/>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color rgb="FF0070C0"/>
      </font>
      <numFmt numFmtId="0" formatCode="General"/>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numFmt numFmtId="34" formatCode="_-* #,##0.00\ &quot;€&quot;_-;\-* #,##0.00\ &quot;€&quot;_-;_-* &quot;-&quot;??\ &quot;€&quot;_-;_-@_-"/>
      <fill>
        <patternFill patternType="solid">
          <fgColor indexed="64"/>
          <bgColor theme="9" tint="-0.249977111117893"/>
        </patternFill>
      </fill>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1" indent="0" justifyLastLine="0" shrinkToFit="0" readingOrder="0"/>
      <protection locked="1" hidden="1"/>
    </dxf>
    <dxf>
      <protection locked="0" hidden="1"/>
    </dxf>
    <dxf>
      <alignment horizontal="center" vertical="bottom" textRotation="0" wrapText="1" indent="0" justifyLastLine="0" shrinkToFit="0" readingOrder="0"/>
      <protection locked="1" hidden="1"/>
    </dxf>
    <dxf>
      <alignment horizontal="center" vertical="bottom" textRotation="0" wrapText="1"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ill>
        <patternFill>
          <bgColor theme="5" tint="0.39994506668294322"/>
        </patternFill>
      </fill>
    </dxf>
    <dxf>
      <fill>
        <patternFill>
          <bgColor theme="0" tint="-0.24994659260841701"/>
        </patternFill>
      </fill>
    </dxf>
    <dxf>
      <font>
        <color rgb="FFFF0000"/>
      </font>
      <fill>
        <patternFill>
          <bgColor rgb="FFFFFF00"/>
        </patternFill>
      </fill>
    </dxf>
    <dxf>
      <font>
        <color rgb="FF9C0006"/>
      </font>
      <fill>
        <patternFill>
          <bgColor rgb="FFFFC7CE"/>
        </patternFill>
      </fill>
    </dxf>
    <dxf>
      <font>
        <color rgb="FF9C0006"/>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theme="0" tint="-0.34998626667073579"/>
      </font>
      <fill>
        <patternFill patternType="none">
          <bgColor auto="1"/>
        </patternFill>
      </fill>
    </dxf>
    <dxf>
      <font>
        <color rgb="FFFF0000"/>
      </font>
      <fill>
        <patternFill>
          <bgColor rgb="FFFFFF00"/>
        </patternFill>
      </fill>
    </dxf>
    <dxf>
      <font>
        <b/>
        <i/>
        <color theme="9" tint="-0.24994659260841701"/>
      </font>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b val="0"/>
        <i/>
        <color theme="1" tint="0.24994659260841701"/>
      </font>
    </dxf>
    <dxf>
      <font>
        <color rgb="FFFF0000"/>
      </font>
      <fill>
        <patternFill>
          <bgColor rgb="FFFFFF00"/>
        </patternFill>
      </fill>
    </dxf>
    <dxf>
      <font>
        <b val="0"/>
        <i/>
        <color theme="1" tint="0.24994659260841701"/>
      </font>
    </dxf>
    <dxf>
      <font>
        <color rgb="FF9C0006"/>
      </font>
      <fill>
        <patternFill>
          <bgColor rgb="FFFFC7CE"/>
        </patternFill>
      </fill>
    </dxf>
    <dxf>
      <font>
        <color rgb="FFFF0000"/>
      </font>
      <fill>
        <patternFill>
          <bgColor rgb="FFFFFF00"/>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protection locked="1" hidden="1"/>
    </dxf>
    <dxf>
      <protection locked="1" hidden="1"/>
    </dxf>
    <dxf>
      <protection locked="1" hidden="1"/>
    </dxf>
    <dxf>
      <protection locked="1" hidden="1"/>
    </dxf>
    <dxf>
      <font>
        <b val="0"/>
        <i val="0"/>
        <strike val="0"/>
        <condense val="0"/>
        <extend val="0"/>
        <outline val="0"/>
        <shadow val="0"/>
        <u val="none"/>
        <vertAlign val="baseline"/>
        <sz val="11"/>
        <color rgb="FF0070C0"/>
        <name val="Calibri"/>
        <scheme val="minor"/>
      </font>
      <numFmt numFmtId="0" formatCode="General"/>
      <fill>
        <patternFill patternType="none">
          <fgColor indexed="64"/>
          <bgColor auto="1"/>
        </patternFill>
      </fill>
      <protection locked="1" hidden="1"/>
    </dxf>
    <dxf>
      <alignment horizontal="center" vertical="bottom" textRotation="0" wrapText="0" indent="0" justifyLastLine="0" shrinkToFit="0" readingOrder="0"/>
      <protection locked="1" hidden="1"/>
    </dxf>
    <dxf>
      <font>
        <color rgb="FF0070C0"/>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protection locked="1" hidden="1"/>
    </dxf>
    <dxf>
      <numFmt numFmtId="34" formatCode="_-* #,##0.00\ &quot;€&quot;_-;\-* #,##0.00\ &quot;€&quot;_-;_-* &quot;-&quot;??\ &quot;€&quot;_-;_-@_-"/>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fill>
        <patternFill patternType="solid">
          <fgColor indexed="64"/>
          <bgColor theme="9" tint="-0.249977111117893"/>
        </patternFill>
      </fill>
      <protection locked="1" hidden="1"/>
    </dxf>
    <dxf>
      <numFmt numFmtId="34" formatCode="_-* #,##0.00\ &quot;€&quot;_-;\-* #,##0.00\ &quot;€&quot;_-;_-* &quot;-&quot;??\ &quot;€&quot;_-;_-@_-"/>
      <protection locked="1" hidden="1"/>
    </dxf>
    <dxf>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numFmt numFmtId="34" formatCode="_-* #,##0.00\ &quot;€&quot;_-;\-* #,##0.00\ &quot;€&quot;_-;_-* &quot;-&quot;??\ &quot;€&quot;_-;_-@_-"/>
      <protection locked="1" hidden="1"/>
    </dxf>
    <dxf>
      <font>
        <strike val="0"/>
        <outline val="0"/>
        <shadow val="0"/>
        <u val="none"/>
        <vertAlign val="baseline"/>
        <sz val="11"/>
        <color rgb="FF0070C0"/>
        <name val="Calibri"/>
        <scheme val="minor"/>
      </font>
      <protection locked="0" hidden="0"/>
    </dxf>
    <dxf>
      <protection locked="1" hidden="1"/>
    </dxf>
    <dxf>
      <font>
        <strike val="0"/>
        <outline val="0"/>
        <shadow val="0"/>
        <u val="none"/>
        <vertAlign val="baseline"/>
        <sz val="11"/>
        <color rgb="FF0070C0"/>
        <name val="Calibri"/>
        <scheme val="minor"/>
      </font>
      <protection locked="0" hidden="0"/>
    </dxf>
    <dxf>
      <alignment horizontal="center" vertical="bottom" textRotation="0" wrapText="0" indent="0" justifyLastLine="0" shrinkToFit="0" readingOrder="0"/>
      <protection locked="1" hidden="1"/>
    </dxf>
    <dxf>
      <alignment horizontal="center" textRotation="0"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theme="5" tint="-0.499984740745262"/>
      </font>
      <fill>
        <patternFill>
          <bgColor theme="5" tint="0.39994506668294322"/>
        </patternFill>
      </fill>
    </dxf>
    <dxf>
      <font>
        <color theme="1" tint="0.499984740745262"/>
      </font>
      <fill>
        <patternFill>
          <bgColor theme="9" tint="0.59996337778862885"/>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ill>
        <patternFill>
          <bgColor theme="5" tint="0.39994506668294322"/>
        </patternFill>
      </fill>
    </dxf>
    <dxf>
      <fill>
        <patternFill>
          <bgColor rgb="FFFFC000"/>
        </patternFill>
      </fill>
    </dxf>
    <dxf>
      <font>
        <b val="0"/>
        <i/>
        <color rgb="FFFF0000"/>
      </font>
    </dxf>
    <dxf>
      <font>
        <color rgb="FF9C0006"/>
      </font>
      <fill>
        <patternFill>
          <bgColor rgb="FFFFC7CE"/>
        </patternFill>
      </fill>
    </dxf>
    <dxf>
      <fill>
        <patternFill>
          <bgColor theme="7"/>
        </patternFill>
      </fill>
    </dxf>
    <dxf>
      <fill>
        <patternFill>
          <bgColor theme="5" tint="0.39994506668294322"/>
        </patternFill>
      </fill>
    </dxf>
    <dxf>
      <fill>
        <patternFill>
          <bgColor theme="5" tint="0.39994506668294322"/>
        </patternFill>
      </fill>
    </dxf>
    <dxf>
      <fill>
        <patternFill>
          <bgColor rgb="FFFFC000"/>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bgColor theme="9"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theme="0" tint="-0.499984740745262"/>
      </font>
      <fill>
        <patternFill>
          <bgColor theme="9" tint="0.79998168889431442"/>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bgColor theme="9" tint="0.79998168889431442"/>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4" tint="0.79998168889431442"/>
      </font>
      <fill>
        <patternFill>
          <bgColor theme="4" tint="0.79998168889431442"/>
        </patternFill>
      </fill>
    </dxf>
    <dxf>
      <font>
        <color rgb="FF9C0006"/>
      </font>
      <fill>
        <patternFill>
          <bgColor theme="5" tint="-0.24994659260841701"/>
        </patternFill>
      </fill>
    </dxf>
    <dxf>
      <font>
        <color rgb="FF9C0006"/>
      </font>
      <fill>
        <patternFill>
          <bgColor rgb="FFFFC7CE"/>
        </patternFill>
      </fill>
    </dxf>
    <dxf>
      <font>
        <color theme="0" tint="-0.499984740745262"/>
      </font>
      <fill>
        <patternFill patternType="none">
          <bgColor auto="1"/>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4.9989318521683403E-2"/>
      </font>
      <fill>
        <patternFill patternType="none">
          <bgColor auto="1"/>
        </patternFill>
      </fill>
    </dxf>
    <dxf>
      <font>
        <color theme="4" tint="0.79998168889431442"/>
      </font>
      <fill>
        <patternFill>
          <bgColor theme="4" tint="0.79998168889431442"/>
        </patternFill>
      </fill>
    </dxf>
    <dxf>
      <font>
        <color rgb="FF9C0006"/>
      </font>
      <fill>
        <patternFill>
          <bgColor theme="5" tint="-0.499984740745262"/>
        </patternFill>
      </fill>
    </dxf>
    <dxf>
      <fill>
        <patternFill>
          <bgColor theme="5" tint="0.39994506668294322"/>
        </patternFill>
      </fill>
    </dxf>
    <dxf>
      <fill>
        <patternFill>
          <bgColor theme="5" tint="0.39994506668294322"/>
        </patternFill>
      </fill>
    </dxf>
    <dxf>
      <font>
        <color theme="0" tint="-0.499984740745262"/>
      </font>
      <fill>
        <patternFill>
          <bgColor theme="0" tint="-4.9989318521683403E-2"/>
        </patternFill>
      </fill>
    </dxf>
    <dxf>
      <border outline="0">
        <top style="thin">
          <color theme="4"/>
        </top>
      </border>
    </dxf>
    <dxf>
      <border outline="0">
        <bottom style="thin">
          <color theme="4"/>
        </bottom>
      </border>
    </dxf>
    <dxf>
      <font>
        <b/>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dxf>
    <dxf>
      <font>
        <strike val="0"/>
        <outline val="0"/>
        <shadow val="0"/>
        <u val="none"/>
        <vertAlign val="baseline"/>
        <sz val="11"/>
        <color rgb="FF00B050"/>
        <name val="Calibri"/>
        <family val="2"/>
        <scheme val="minor"/>
      </font>
      <fill>
        <patternFill patternType="none">
          <fgColor indexed="64"/>
          <bgColor auto="1"/>
        </patternFill>
      </fill>
    </dxf>
    <dxf>
      <font>
        <b/>
        <i val="0"/>
        <strike val="0"/>
        <condense val="0"/>
        <extend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theme="1" tint="0.499984740745262"/>
      </font>
      <fill>
        <patternFill patternType="none">
          <bgColor auto="1"/>
        </patternFill>
      </fill>
    </dxf>
    <dxf>
      <font>
        <color theme="1" tint="0.499984740745262"/>
      </font>
      <fill>
        <patternFill patternType="none">
          <bgColor auto="1"/>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1A09F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45720</xdr:colOff>
      <xdr:row>0</xdr:row>
      <xdr:rowOff>22860</xdr:rowOff>
    </xdr:from>
    <xdr:to>
      <xdr:col>2</xdr:col>
      <xdr:colOff>15240</xdr:colOff>
      <xdr:row>0</xdr:row>
      <xdr:rowOff>723900</xdr:rowOff>
    </xdr:to>
    <xdr:pic>
      <xdr:nvPicPr>
        <xdr:cNvPr id="2" name="Imagem 1" descr="K:\LOGO FCiências.id\Logomarca\Logomarca\LOGOMARCA PNG RGB (digital)\Policromático\GOBIUS FCIENCIAS.ID LOGOMARCA PANTONE_horizontal com assinatura.png.png">
          <a:extLst>
            <a:ext uri="{FF2B5EF4-FFF2-40B4-BE49-F238E27FC236}">
              <a16:creationId xmlns:a16="http://schemas.microsoft.com/office/drawing/2014/main" id="{DF4107D7-102A-4354-B277-96BF43EC0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760" t="14400" r="8813" b="16000"/>
        <a:stretch>
          <a:fillRect/>
        </a:stretch>
      </xdr:blipFill>
      <xdr:spPr bwMode="auto">
        <a:xfrm>
          <a:off x="45720" y="2286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FORMULARIOS/06.02_Candidaturas/Lista%20Candidaturas%20FCID_2024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6_FORMULARIOS\06.02_Candidaturas\NPN\Ficheiro%20de%20Apoio_V1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FORMULARIOS/06.02_Candidaturas/NPN/LEAP-SE/Ficheiro%20de%20Apoio_V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ogosoares/Library/Containers/com.microsoft.Excel/Data/Documents/Z:/06_FORMULARIOS/06.02_Candidaturas/Lista%20Candidaturas%20FCID_202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ANDIDATURAS FCID"/>
      <sheetName val="Resumo 2024"/>
      <sheetName val="Tabelas auxiliares"/>
      <sheetName val="Dúvidas"/>
      <sheetName val="Lista Candidaturas FCID_2024_20"/>
    </sheetNames>
    <sheetDataSet>
      <sheetData sheetId="0"/>
      <sheetData sheetId="1">
        <row r="1">
          <cell r="T1" t="str">
            <v>Concurso/Tópico</v>
          </cell>
        </row>
      </sheetData>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 val="Ficheiro de Apoio_V13.3"/>
    </sheetNames>
    <sheetDataSet>
      <sheetData sheetId="0"/>
      <sheetData sheetId="1"/>
      <sheetData sheetId="2">
        <row r="1">
          <cell r="B1" t="str">
            <v>E-mail subject</v>
          </cell>
        </row>
      </sheetData>
      <sheetData sheetId="3"/>
      <sheetData sheetId="4"/>
      <sheetData sheetId="5"/>
      <sheetData sheetId="6"/>
      <sheetData sheetId="7"/>
      <sheetData sheetId="8"/>
      <sheetData sheetId="9"/>
      <sheetData sheetId="10">
        <row r="15">
          <cell r="N15">
            <v>0</v>
          </cell>
        </row>
        <row r="41">
          <cell r="C41">
            <v>0</v>
          </cell>
        </row>
      </sheetData>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s"/>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2">
          <cell r="D2" t="str">
            <v>LEAP-SE 2025</v>
          </cell>
        </row>
      </sheetData>
      <sheetData sheetId="3"/>
      <sheetData sheetId="4"/>
      <sheetData sheetId="5"/>
      <sheetData sheetId="6"/>
      <sheetData sheetId="7"/>
      <sheetData sheetId="8"/>
      <sheetData sheetId="9">
        <row r="3">
          <cell r="B3"/>
        </row>
        <row r="4">
          <cell r="B4"/>
        </row>
        <row r="5">
          <cell r="B5"/>
        </row>
        <row r="6">
          <cell r="B6"/>
        </row>
        <row r="7">
          <cell r="B7"/>
        </row>
        <row r="8">
          <cell r="B8"/>
        </row>
        <row r="9">
          <cell r="B9"/>
        </row>
        <row r="10">
          <cell r="B10"/>
        </row>
        <row r="11">
          <cell r="B11"/>
        </row>
        <row r="12">
          <cell r="B12"/>
        </row>
        <row r="13">
          <cell r="B13"/>
        </row>
        <row r="14">
          <cell r="B14"/>
        </row>
        <row r="15">
          <cell r="B15"/>
        </row>
        <row r="16">
          <cell r="B16"/>
        </row>
        <row r="17">
          <cell r="B17"/>
        </row>
        <row r="18">
          <cell r="B18"/>
        </row>
        <row r="19">
          <cell r="B19"/>
        </row>
        <row r="20">
          <cell r="B20"/>
        </row>
        <row r="21">
          <cell r="B21"/>
        </row>
        <row r="22">
          <cell r="B22"/>
        </row>
        <row r="23">
          <cell r="B23"/>
        </row>
        <row r="24">
          <cell r="B24"/>
        </row>
        <row r="25">
          <cell r="B25"/>
        </row>
        <row r="26">
          <cell r="B26"/>
        </row>
        <row r="27">
          <cell r="B27"/>
        </row>
        <row r="28">
          <cell r="B28"/>
        </row>
        <row r="29">
          <cell r="B29"/>
        </row>
        <row r="30">
          <cell r="B30"/>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row r="62">
          <cell r="B62"/>
        </row>
        <row r="63">
          <cell r="B63"/>
        </row>
        <row r="64">
          <cell r="B64"/>
        </row>
        <row r="65">
          <cell r="B65"/>
        </row>
        <row r="66">
          <cell r="B66"/>
        </row>
        <row r="67">
          <cell r="B67"/>
        </row>
        <row r="68">
          <cell r="B68"/>
        </row>
        <row r="69">
          <cell r="B69"/>
        </row>
        <row r="70">
          <cell r="B70"/>
        </row>
        <row r="71">
          <cell r="B71"/>
        </row>
        <row r="72">
          <cell r="B72"/>
        </row>
        <row r="73">
          <cell r="B73"/>
        </row>
        <row r="74">
          <cell r="B74"/>
        </row>
        <row r="75">
          <cell r="B75"/>
        </row>
        <row r="76">
          <cell r="B76"/>
        </row>
        <row r="77">
          <cell r="B77"/>
        </row>
        <row r="78">
          <cell r="B78"/>
        </row>
        <row r="79">
          <cell r="B79"/>
        </row>
        <row r="80">
          <cell r="B80"/>
        </row>
        <row r="81">
          <cell r="B81"/>
        </row>
        <row r="82">
          <cell r="B82"/>
        </row>
        <row r="83">
          <cell r="B83"/>
        </row>
        <row r="84">
          <cell r="B84"/>
        </row>
        <row r="85">
          <cell r="B85"/>
        </row>
        <row r="86">
          <cell r="B86"/>
        </row>
        <row r="87">
          <cell r="B87"/>
        </row>
        <row r="88">
          <cell r="B88"/>
        </row>
        <row r="89">
          <cell r="B89"/>
        </row>
        <row r="90">
          <cell r="B90"/>
        </row>
        <row r="91">
          <cell r="B91"/>
        </row>
        <row r="92">
          <cell r="B92"/>
        </row>
        <row r="93">
          <cell r="B93"/>
        </row>
        <row r="94">
          <cell r="B94"/>
        </row>
        <row r="95">
          <cell r="B95"/>
        </row>
        <row r="96">
          <cell r="B96"/>
        </row>
        <row r="97">
          <cell r="B97"/>
        </row>
        <row r="98">
          <cell r="B98"/>
        </row>
        <row r="99">
          <cell r="B99"/>
        </row>
        <row r="100">
          <cell r="B100"/>
        </row>
        <row r="101">
          <cell r="B101"/>
        </row>
        <row r="102">
          <cell r="B102"/>
        </row>
      </sheetData>
      <sheetData sheetId="10">
        <row r="15">
          <cell r="N15">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auxiliar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16A168-7A05-4B9E-8063-515B788B9ED5}" name="Tabela6" displayName="Tabela6" ref="A1:A8" totalsRowShown="0" headerRowDxfId="455">
  <autoFilter ref="A1:A8" xr:uid="{1B6773E4-7A3E-482A-BF6D-E782490DC037}"/>
  <sortState ref="A2:A8">
    <sortCondition ref="A2"/>
  </sortState>
  <tableColumns count="1">
    <tableColumn id="1" xr3:uid="{5E379BD5-D4AA-4117-A83E-F1BF982DDDE6}" name="1.1.1.Scientific Domai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E21B22-AE68-41B1-A756-3634CFC33566}" name="Tabela613" displayName="Tabela613" ref="G2:H13" totalsRowShown="0" headerRowDxfId="383" headerRowBorderDxfId="382" tableBorderDxfId="381">
  <autoFilter ref="G2:H13" xr:uid="{3D4930D5-7AB2-4B06-85E3-34618BC7F3F2}"/>
  <tableColumns count="2">
    <tableColumn id="1" xr3:uid="{2477D7F8-845C-45EA-8FC9-BED28EE56AE6}" name="Departamento Ciências"/>
    <tableColumn id="2" xr3:uid="{6E00F288-D498-47E8-861B-7E6BC581960B}" name="Acrónimo"/>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F8A4E-571F-4F49-8B66-3F35C83C3F61}" name="Tabela8" displayName="Tabela8" ref="A2:K23" totalsRowCount="1" headerRowDxfId="212" dataDxfId="211" totalsRowDxfId="210">
  <autoFilter ref="A2:K22" xr:uid="{6DB7F2C7-47D2-47A8-858A-4FB26EF1FA1A}"/>
  <tableColumns count="11">
    <tableColumn id="1" xr3:uid="{EFADA752-8027-4FED-A962-A803CFE981B7}" name="No." totalsRowLabel="Total" dataDxfId="209" totalsRowDxfId="208"/>
    <tableColumn id="3" xr3:uid="{E0281E36-8DFB-4541-9C73-46E642C80372}" name=" EQUIPMENT DESIGNATION" dataDxfId="207" totalsRowDxfId="206"/>
    <tableColumn id="7" xr3:uid="{20F88577-B1B7-4CFF-9A0A-07FF7E79F528}" name="Base Value_x000a_(without VAT)*" totalsRowFunction="sum" dataDxfId="205" totalsRowDxfId="204"/>
    <tableColumn id="5" xr3:uid="{01B3C54D-89FF-4F8D-8F6F-373505170FF6}" name="Amortization Period _x000a_(Years)" dataDxfId="203" totalsRowDxfId="202">
      <calculatedColumnFormula>IF(C3="","",IF('5.Equipments'!$C3&lt;1000.01,1,""))</calculatedColumnFormula>
    </tableColumn>
    <tableColumn id="6" xr3:uid="{B972661F-D883-4F3D-A01C-DAEC4BCA419C}" name="Acquisition Month" dataDxfId="201" totalsRowDxfId="200">
      <calculatedColumnFormula>IF(Tabela8[[#This Row],[Amortization Period 
(Years)]]="","",1)</calculatedColumnFormula>
    </tableColumn>
    <tableColumn id="11" xr3:uid="{708CFBF1-D765-4237-8C41-C29A7DDFAF98}" name="imputed months*" dataDxfId="199" totalsRowDxfId="198">
      <calculatedColumnFormula>IF(Tabela8[[#This Row],[Acquisition Month]]="","",('1.G.Data'!C$14-Tabela8[[#This Row],[Acquisition Month]]+1))</calculatedColumnFormula>
    </tableColumn>
    <tableColumn id="8" xr3:uid="{E941DE6E-0E08-4E58-94D5-E6C7A936AB88}" name="Eligible Cost_x000a_(Value to indicate in the appication) / without VAT" totalsRowFunction="sum" dataDxfId="197" totalsRowDxfId="196">
      <calculatedColumnFormula>+Amortizações!O6</calculatedColumnFormula>
    </tableColumn>
    <tableColumn id="9" xr3:uid="{6CBFDB0F-6F26-4B87-BC13-A42EFE7A282B}" name="Non-Eligible Cost_x000a_(5% OH) / Includes VAT at 23% rate" totalsRowFunction="sum" dataDxfId="195" totalsRowDxfId="194">
      <calculatedColumnFormula>(Tabela8[[#This Row],[Base Value
(without VAT)*]]-Tabela8[[#This Row],[Eligible Cost
(Value to indicate in the appication) / without VAT]])*1.23</calculatedColumnFormula>
    </tableColumn>
    <tableColumn id="10" xr3:uid="{D114B53B-7D45-4493-B7E1-79E93C3923AC}" name="Institution**" dataDxfId="193" totalsRowDxfId="192"/>
    <tableColumn id="2" xr3:uid="{9B965E21-3F33-45EB-AB16-A21794884F3B}" name="Notes:" dataDxfId="191" totalsRowDxfId="190"/>
    <tableColumn id="15" xr3:uid="{D9C65183-999D-4BF3-8C58-0478C5D3B676}" name="Alerts:" dataDxfId="189" totalsRowDxfId="188">
      <calculatedColumnFormula>IF(Tabela8[[#This Row],[ EQUIPMENT DESIGNATION]]="","",IF(Tabela8[[#This Row],[Base Value
(without VAT)*]]="","Alert: Fill in Base Value (withhout VAT)",IF(Tabela8[[#This Row],[Institution**]]="","Alert: Fill In Institution",IF(AF3&lt;100%,"Alert: The % of equipment use per task is missing.",""))))</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BB522E-BC72-425E-8AAC-FD9DBD349D11}" name="Tabela4" displayName="Tabela4" ref="A26:D230" totalsRowShown="0" headerRowDxfId="187" dataDxfId="186">
  <autoFilter ref="A26:D230" xr:uid="{00000000-0009-0000-0100-000004000000}"/>
  <tableColumns count="4">
    <tableColumn id="1" xr3:uid="{A56CB013-E285-4F07-AE8C-264303387D20}" name="Rubric" dataDxfId="185"/>
    <tableColumn id="2" xr3:uid="{C3B2771D-58F5-436F-B114-E321B91EC6F4}" name="Equipment" dataDxfId="184"/>
    <tableColumn id="3" xr3:uid="{08A542DC-AAA6-4F4E-AAF1-0B833C9BDD1A}" name="Amortization Period _x000a_(Years)" dataDxfId="183"/>
    <tableColumn id="4" xr3:uid="{D17C84A0-5314-4628-8D4B-BD7BE6207C59}" name="Notes" dataDxfId="182"/>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1BE641-2FC0-4472-933C-FB1D5F47839B}" name="Tabela16" displayName="Tabela16" ref="A2:G103" totalsRowCount="1" headerRowDxfId="68" dataDxfId="67" totalsRowDxfId="66">
  <autoFilter ref="A2:G102" xr:uid="{F040C392-49C7-407C-B1E2-866965411C74}"/>
  <tableColumns count="7">
    <tableColumn id="1" xr3:uid="{52D58872-171E-4ED8-B15D-94BCDC343A82}" name="No." totalsRowLabel="Total" dataDxfId="65" totalsRowDxfId="64"/>
    <tableColumn id="2" xr3:uid="{25032935-1FF0-43FE-9564-3A90755C7733}" name="Expense Category*" dataDxfId="63" totalsRowDxfId="62"/>
    <tableColumn id="3" xr3:uid="{D165A638-8040-4606-8CA9-00B8C57287BF}" name="Value" totalsRowFunction="sum" dataDxfId="61" totalsRowDxfId="60"/>
    <tableColumn id="4" xr3:uid="{A63AEA1E-0E6C-4C79-A1E5-FBD8D0ABE4E3}" name="Description" dataDxfId="59" totalsRowDxfId="58"/>
    <tableColumn id="5" xr3:uid="{A0F54A2F-5CD9-4928-A993-6828A61D3269}" name="Institution**" dataDxfId="57" totalsRowDxfId="56"/>
    <tableColumn id="7" xr3:uid="{A93BB3A9-2659-48BE-A126-9D9BD293639F}" name="Task Nº" dataDxfId="55" totalsRowDxfId="54"/>
    <tableColumn id="6" xr3:uid="{5A5825E4-227E-4C8A-897C-52BA30B57B4E}" name="Notes:" dataDxfId="53" totalsRowDxfId="52">
      <calculatedColumnFormula>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A569C7-ED73-4AED-83FA-8651829792E2}" name="Tabela5" displayName="Tabela5" ref="C1:D12" totalsRowShown="0" headerRowDxfId="454">
  <autoFilter ref="C1:D12" xr:uid="{4AE4800A-E36B-4516-BF29-5D1B7A9BFF0B}"/>
  <tableColumns count="2">
    <tableColumn id="1" xr3:uid="{BDA00BAC-C6FA-4F75-BCA3-B5C0C5C99231}" name="Departments"/>
    <tableColumn id="2" xr3:uid="{EFFC5A6D-2652-4D31-8FC1-16ACA8ED7C5E}" name="Acrónimo Departamento"/>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4B5CD2-E72F-4A7D-827D-D843ED7B67D0}" name="Tabela510" displayName="Tabela510" ref="F1:F8" totalsRowShown="0" headerRowDxfId="453">
  <autoFilter ref="F1:F8" xr:uid="{749D5C12-8187-466A-A3EC-728837DE4CD6}"/>
  <tableColumns count="1">
    <tableColumn id="1" xr3:uid="{71239666-D607-434F-B345-BFB6BAA9913F}" name="Employment relationship"/>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E18A34-8558-4875-9099-68C74EF1986D}" name="Tabela10" displayName="Tabela10" ref="H1:J9" totalsRowShown="0">
  <autoFilter ref="H1:J9" xr:uid="{08C8DDBD-8BD5-4742-9F8D-B00EADB294DF}"/>
  <tableColumns count="3">
    <tableColumn id="1" xr3:uid="{5B9F2732-8D99-4CB4-9336-69D39A30AC60}" name="Acrónimo"/>
    <tableColumn id="2" xr3:uid="{7B2983DD-480E-459C-998F-A1BF211E2055}" name="Nome da Instituição"/>
    <tableColumn id="3" xr3:uid="{F7DF1E5B-266B-4757-982F-245ED0011C20}" name="Cód."/>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395FEE2-FA65-4A2C-9EEE-7A44010A3D51}" name="Tabela13" displayName="Tabela13" ref="C18:D31" totalsRowShown="0" headerRowDxfId="452" dataDxfId="451">
  <autoFilter ref="C18:D31" xr:uid="{E395FEE2-FA65-4A2C-9EEE-7A44010A3D51}"/>
  <tableColumns count="2">
    <tableColumn id="1" xr3:uid="{E900E14D-E76D-46AA-9B09-D57F2F15AC66}" name="Unidade Associada" dataDxfId="450"/>
    <tableColumn id="2" xr3:uid="{0F4A31F2-2586-4901-8AC5-8C7B027F1251}" name="Unidade Associada2" dataDxfId="449"/>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0A81A2-1B73-4923-AB3A-1AF5ADA196A9}" name="Tabela2" displayName="Tabela2" ref="Z1:Z14" totalsRowShown="0" headerRowDxfId="392" dataDxfId="391">
  <autoFilter ref="Z1:Z14" xr:uid="{D0C1ED69-E8CD-4CA5-9415-9040E0D7215E}"/>
  <tableColumns count="1">
    <tableColumn id="1" xr3:uid="{02150144-0579-4AC0-A0BB-EA9504C6154D}" name="UI&amp;Ds" dataDxfId="390"/>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3C5F99-E78B-41D5-A645-A9EAE3A32BE0}" name="Tabela1" displayName="Tabela1" ref="AC2:AD81" totalsRowShown="0" headerRowDxfId="389" dataDxfId="388">
  <autoFilter ref="AC2:AD81" xr:uid="{27164AF9-D49B-4513-99C8-29C9AA4CCBB3}"/>
  <tableColumns count="2">
    <tableColumn id="1" xr3:uid="{827BACFA-B768-4B67-A1D2-44C114010790}" name="Acrónimo" dataDxfId="387"/>
    <tableColumn id="2" xr3:uid="{05A8B5C4-0802-4C7D-B0D4-9813731516C1}" name="Nome da Instituição" dataDxfId="386"/>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783872-570A-48E2-8AD2-840665882908}" name="Tabela7" displayName="Tabela7" ref="A2:B15" totalsRowShown="0" headerRowDxfId="385">
  <autoFilter ref="A2:B15" xr:uid="{F3A2D7BB-074C-433B-957D-6185B28F8047}"/>
  <tableColumns count="2">
    <tableColumn id="1" xr3:uid="{A29F5BFC-3529-4B48-A941-DDF44BAA72D8}" name="ACRÓNIMO"/>
    <tableColumn id="2" xr3:uid="{590795A9-6AA9-431D-8F44-8F47747A2449}" name="DESIGNAÇÃO"/>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2E9F09E-CD0D-42DA-A372-0318D9F7DE5D}" name="Tabela9" displayName="Tabela9" ref="D2:E27" totalsRowShown="0" headerRowDxfId="384">
  <autoFilter ref="D2:E27" xr:uid="{AFAEBABF-D1D0-4406-817D-4983EAFAC48D}"/>
  <tableColumns count="2">
    <tableColumn id="1" xr3:uid="{0D61EED1-DD1A-455C-BADB-17EA442BFD73}" name="Acrónimo"/>
    <tableColumn id="2" xr3:uid="{6247BC30-428E-4903-AFE8-AEBC4EB6692B}" name="Nome da Instituição"/>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fct.fct.pt/LibDocument/FileDisplay.aspx?EcrypDoctId=ocSoN5+Wv24gEnivBgQPZglYYs52Xk/3TVIXyNYIc1B+NgGcnFo1eRxdunx+OuSGtrbvDCSki8UNzfHVZ0NQGrhORdb8wD16uLGIrLLlwmLODfW1So0OzqZw/23e/gQ01++Sx0BaQvky9uJg2DuLAQtN3Ep6NsqNtvrBkyr7YFY=" TargetMode="External"/><Relationship Id="rId13" Type="http://schemas.openxmlformats.org/officeDocument/2006/relationships/hyperlink" Target="https://myfct.fct.pt/LibDocument/FileDisplay.aspx?EcrypDoctId=ocSoN5+Wv24gEnivBgQPZglYYs52Xk/3TVIXyNYIc1AcMU1bfqosuR/i/X36I2r4S9y3hUNVC9ETqJXr5J+kb7h/88koe2IvJWr/2rJikJgt7qPaBo++DUohH+SaqfefPiWaN2vI6rpd2Ithlauq4YLls3ACmexvgSTQbFnQgSI=" TargetMode="External"/><Relationship Id="rId3" Type="http://schemas.openxmlformats.org/officeDocument/2006/relationships/hyperlink" Target="https://www.fct.pt/en/concursos/concurso-para-projetos-de-investigacao-de-carater-exploratorio-em-todos-os-dominios-cientificos-2024" TargetMode="External"/><Relationship Id="rId7" Type="http://schemas.openxmlformats.org/officeDocument/2006/relationships/hyperlink" Target="https://myfct.fct.pt/LibDocument/FileDisplay.aspx?EcrypDoctId=ocSoN5+Wv24gEnivBgQPZglYYs52Xk/3TVIXyNYIc1CVIvwrBxJXjBFwQ00IGHzj4jCTPGQT2BgfRdWfFbuCG89QMuEL+MvT4Q8lnEqMS9yQ6w7JxDU5bw8oG0E2ha/AX77nLzTIA2HFhG+/PmTLEYEYw0vtgrM/fsGwMtlBgds=" TargetMode="External"/><Relationship Id="rId12" Type="http://schemas.openxmlformats.org/officeDocument/2006/relationships/hyperlink" Target="https://myfct.fct.pt/LibDocument/FileDisplay.aspx?EcrypDoctId=ocSoN5+Wv24gEnivBgQPZglYYs52Xk/3TVIXyNYIc1DlmYC9wIrpKdqqPgnQG0/b9OSG29QJVjCRml9CUWs8GyDSI8fsWzL+w5YqUQOnMG6FG6jDcgiaor/soTqCLx+11m5mTMHTM9FjQpkXli1UN1YeXv1XvMpj2eLRQBJsNFE=" TargetMode="External"/><Relationship Id="rId17" Type="http://schemas.openxmlformats.org/officeDocument/2006/relationships/drawing" Target="../drawings/drawing1.xml"/><Relationship Id="rId2" Type="http://schemas.openxmlformats.org/officeDocument/2006/relationships/hyperlink" Target="mailto:nacionaisID@fciencias-id.pt" TargetMode="External"/><Relationship Id="rId16" Type="http://schemas.openxmlformats.org/officeDocument/2006/relationships/printerSettings" Target="../printerSettings/printerSettings1.bin"/><Relationship Id="rId1" Type="http://schemas.openxmlformats.org/officeDocument/2006/relationships/hyperlink" Target="mailto:concursoprojetos@fct.pt" TargetMode="External"/><Relationship Id="rId6" Type="http://schemas.openxmlformats.org/officeDocument/2006/relationships/hyperlink" Target="https://myfct.fct.pt/LibDocument/FileDisplay.aspx?EcrypDoctId=ocSoN5+Wv24gEnivBgQPZglYYs52Xk/3TVIXyNYIc1C+Qt+1Ro67C4aavCyShtDi/xbBXfzoDkdHjuCndj5bmFpMdefkClKME3CZ7z1eQL1FI/7jhDp75utSteta1f5l0WL4CImeudW7QmaCmBwyT6W/qBNGe/vJMPDIK90fBz8=" TargetMode="External"/><Relationship Id="rId11" Type="http://schemas.openxmlformats.org/officeDocument/2006/relationships/hyperlink" Target="https://myfct.fct.pt/LibDocument/FileDisplay.aspx?EcrypDoctId=ocSoN5+Wv24gEnivBgQPZglYYs52Xk/3TVIXyNYIc1B9yX6uqVji3lbqDBCqK+rxKcFmS/BCuxr+UaQkM6hHlPfyY79bhKcMs/Rcdeob1bI7G6VbB66Fb21I3KXf/xjDD/aywtlSORthDYBAEGRIgw2Oxj1iHp3WVGqf1pFEpb8=" TargetMode="External"/><Relationship Id="rId5" Type="http://schemas.openxmlformats.org/officeDocument/2006/relationships/hyperlink" Target="https://www.fct.pt/concursos/concurso-para-projetos-de-investigacao-de-carater-exploratorio-em-todos-os-dominios-cientificos-2024" TargetMode="External"/><Relationship Id="rId15" Type="http://schemas.openxmlformats.org/officeDocument/2006/relationships/hyperlink" Target="https://www.fct.pt/en/concursos/concurso-para-projetos-de-investigacao-de-carater-exploratorio-em-todos-os-dominios-cientificos-2024" TargetMode="External"/><Relationship Id="rId10" Type="http://schemas.openxmlformats.org/officeDocument/2006/relationships/hyperlink" Target="https://myfct.fct.pt/LibDocument/FileDisplay.aspx?EcrypDoctId=ocSoN5+Wv24gEnivBgQPZglYYs52Xk/3TVIXyNYIc1DFjzDDFcgg8jqDErCuIrRFQLoVz2LygI8rb+/psqUONscgNG8d23UgHUckyMSurgMuo2bJSsyiEoorMvfokKEDgMa1yVzuggfrFmZ3Vi/5OcQrRKLe4laR/BuUM6kghfQ=" TargetMode="External"/><Relationship Id="rId4" Type="http://schemas.openxmlformats.org/officeDocument/2006/relationships/hyperlink" Target="https://www.fct.pt/concursos/concurso-para-projetos-de-investigacao-de-carater-exploratorio-em-todos-os-dominios-cientificos-2024" TargetMode="External"/><Relationship Id="rId9" Type="http://schemas.openxmlformats.org/officeDocument/2006/relationships/hyperlink" Target="https://myfct.fct.pt/LibDocument/FileDisplay.aspx?EcrypDoctId=ocSoN5+Wv24gEnivBgQPZglYYs52Xk/3TVIXyNYIc1Agqd60lJCRtShZXkgJuQlgNRRuJXFEfn3rZ8VZB+hu+rY+kX8viUpeyLE2S3ka/oIM3mCVXw6PwTr3x0lhWmsHcpo46OKqNcEo3cXOBaNZ/yDwl6n4G5qGkaeUZchYA5c=" TargetMode="External"/><Relationship Id="rId14" Type="http://schemas.openxmlformats.org/officeDocument/2006/relationships/hyperlink" Target="https://myfct.fct.pt/LibDocument/FileDisplay.aspx?EcrypDoctId=ocSoN5+Wv24gEnivBgQPZglYYs52Xk/3TVIXyNYIc1DiMiZkusCLiG2rWcrFDkYV/zhYVJouAXBdEMDzlGyq7Hna2iDI/IBM+N7SAfnjuinY1/wHSAs4gcelbZPAFx33D/TmGOCkl/kH9hvUlKkeBjvdsP44y9jyqoM0njlHteE="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yfct.fct.pt/Projects/BudgetPrincipalContractor?ShowIncompleteFields=false&amp;ApplicationId=70237" TargetMode="External"/><Relationship Id="rId1" Type="http://schemas.openxmlformats.org/officeDocument/2006/relationships/hyperlink" Target="https://myfct.fct.pt/Projects/BudgetPrincipalContractor?ShowIncompleteFields=false&amp;ApplicationId=70237"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yfct.fct.pt/LibDocument/FileDisplay.aspx?EcrypDoctId=ocSoN5+Wv24gEnivBgQPZglYYs52Xk/3TVIXyNYIc1DlmYC9wIrpKdqqPgnQG0/b9OSG29QJVjCRml9CUWs8GyDSI8fsWzL+w5YqUQOnMG4w/BMCJDFQ4aOwEIu4f4tSdsa0cptYsaaY0xT10JzjuVW/zhyWf7r6D+0c4pHD/4w="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fciencias-id.pt/sites/fciencias-id/files/Regulamento%20das%20Carreiras%20da%20%C3%A1rea%20de%20Ci%C3%AAncia%20e%20Tecnologia%20%28CA%20V2.1%2023-4-2024%29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9CEE-F465-4BDC-9975-2C8FFA0C088B}">
  <sheetPr>
    <tabColor theme="4"/>
    <pageSetUpPr fitToPage="1"/>
  </sheetPr>
  <dimension ref="A1:K67"/>
  <sheetViews>
    <sheetView tabSelected="1" zoomScaleNormal="100" workbookViewId="0">
      <pane ySplit="1" topLeftCell="A2" activePane="bottomLeft" state="frozen"/>
      <selection activeCell="F22" sqref="F22:J22"/>
      <selection pane="bottomLeft" activeCell="F22" sqref="F22:J22"/>
    </sheetView>
  </sheetViews>
  <sheetFormatPr defaultColWidth="8.88671875" defaultRowHeight="15.05"/>
  <cols>
    <col min="1" max="1" width="14.44140625" style="189" customWidth="1"/>
    <col min="2" max="2" width="7.109375" style="189" customWidth="1"/>
    <col min="3" max="3" width="114.44140625" style="189" customWidth="1"/>
    <col min="4" max="5" width="4.44140625" style="199" customWidth="1"/>
    <col min="6" max="6" width="29.44140625" style="260" customWidth="1"/>
    <col min="7" max="9" width="22.44140625" style="260" customWidth="1"/>
    <col min="10" max="11" width="24.88671875" style="260" customWidth="1"/>
    <col min="12" max="16384" width="8.88671875" style="189"/>
  </cols>
  <sheetData>
    <row r="1" spans="1:11" s="160" customFormat="1" ht="78.05" customHeight="1" thickBot="1">
      <c r="A1" s="187"/>
      <c r="B1" s="623" t="s">
        <v>1012</v>
      </c>
      <c r="C1" s="623"/>
      <c r="D1" s="623"/>
      <c r="E1" s="624"/>
      <c r="F1" s="365"/>
      <c r="G1" s="258"/>
      <c r="H1" s="257"/>
      <c r="I1" s="258"/>
      <c r="J1" s="258"/>
      <c r="K1" s="258"/>
    </row>
    <row r="2" spans="1:11" ht="21.6" customHeight="1" thickBot="1">
      <c r="A2" s="188" t="s">
        <v>547</v>
      </c>
      <c r="B2" s="625" t="s">
        <v>548</v>
      </c>
      <c r="C2" s="625"/>
      <c r="D2" s="625"/>
      <c r="E2" s="626"/>
      <c r="F2" s="259"/>
      <c r="H2" s="259"/>
    </row>
    <row r="3" spans="1:11" ht="77.25" customHeight="1">
      <c r="A3" s="612" t="s">
        <v>549</v>
      </c>
      <c r="B3" s="614" t="s">
        <v>788</v>
      </c>
      <c r="C3" s="614"/>
      <c r="D3" s="190"/>
      <c r="E3" s="191"/>
      <c r="F3" s="259"/>
      <c r="H3" s="259"/>
    </row>
    <row r="4" spans="1:11" ht="30.15" hidden="1">
      <c r="A4" s="608"/>
      <c r="B4" s="192"/>
      <c r="C4" s="193" t="s">
        <v>577</v>
      </c>
      <c r="D4" s="256" t="s">
        <v>550</v>
      </c>
      <c r="E4" s="194" t="s">
        <v>551</v>
      </c>
    </row>
    <row r="5" spans="1:11" ht="17.2" hidden="1" customHeight="1">
      <c r="A5" s="608"/>
      <c r="B5" s="192"/>
      <c r="C5" s="1" t="s">
        <v>789</v>
      </c>
      <c r="D5" s="256" t="s">
        <v>550</v>
      </c>
      <c r="E5" s="194" t="s">
        <v>551</v>
      </c>
    </row>
    <row r="6" spans="1:11" ht="30.6" hidden="1" customHeight="1">
      <c r="A6" s="608"/>
      <c r="B6" s="192"/>
      <c r="C6" s="195" t="s">
        <v>552</v>
      </c>
      <c r="D6" s="256" t="s">
        <v>550</v>
      </c>
      <c r="E6" s="194"/>
    </row>
    <row r="7" spans="1:11" ht="15.05" hidden="1" customHeight="1">
      <c r="A7" s="608"/>
      <c r="B7" s="192"/>
      <c r="C7" s="160" t="s">
        <v>790</v>
      </c>
      <c r="D7" s="256" t="s">
        <v>550</v>
      </c>
      <c r="E7" s="194" t="s">
        <v>551</v>
      </c>
    </row>
    <row r="8" spans="1:11" ht="17.2" hidden="1" customHeight="1">
      <c r="A8" s="608"/>
      <c r="B8" s="196"/>
      <c r="C8" s="1" t="s">
        <v>553</v>
      </c>
      <c r="D8" s="256"/>
      <c r="E8" s="194" t="s">
        <v>551</v>
      </c>
    </row>
    <row r="9" spans="1:11" ht="17.2" hidden="1" customHeight="1">
      <c r="A9" s="608"/>
      <c r="B9" s="196"/>
      <c r="C9" s="197" t="s">
        <v>578</v>
      </c>
      <c r="D9" s="256" t="s">
        <v>550</v>
      </c>
      <c r="E9" s="194"/>
    </row>
    <row r="10" spans="1:11" ht="17.2" hidden="1" customHeight="1">
      <c r="A10" s="608"/>
      <c r="B10" s="196"/>
      <c r="C10" s="1" t="s">
        <v>554</v>
      </c>
      <c r="D10" s="256" t="s">
        <v>550</v>
      </c>
      <c r="E10" s="194" t="s">
        <v>551</v>
      </c>
    </row>
    <row r="11" spans="1:11" ht="17.2" hidden="1" customHeight="1">
      <c r="A11" s="608"/>
      <c r="B11" s="196"/>
      <c r="C11" s="197" t="s">
        <v>555</v>
      </c>
      <c r="D11" s="256" t="s">
        <v>550</v>
      </c>
      <c r="E11" s="194" t="s">
        <v>551</v>
      </c>
    </row>
    <row r="12" spans="1:11" ht="155.30000000000001" customHeight="1">
      <c r="A12" s="608"/>
      <c r="B12" s="627" t="s">
        <v>1006</v>
      </c>
      <c r="C12" s="627"/>
      <c r="D12" s="627"/>
      <c r="E12" s="628"/>
    </row>
    <row r="13" spans="1:11" ht="36.65" customHeight="1">
      <c r="A13" s="608"/>
      <c r="B13" s="629" t="s">
        <v>1044</v>
      </c>
      <c r="C13" s="629"/>
      <c r="D13" s="629"/>
      <c r="E13" s="630"/>
    </row>
    <row r="14" spans="1:11" s="524" customFormat="1" ht="78.05" customHeight="1">
      <c r="A14" s="608"/>
      <c r="B14" s="609" t="s">
        <v>559</v>
      </c>
      <c r="C14" s="609"/>
      <c r="D14" s="609"/>
      <c r="E14" s="610"/>
      <c r="F14" s="260"/>
      <c r="G14" s="260"/>
      <c r="H14" s="260"/>
      <c r="I14" s="260"/>
      <c r="J14" s="260"/>
      <c r="K14" s="260"/>
    </row>
    <row r="15" spans="1:11" ht="17.2" customHeight="1">
      <c r="A15" s="608"/>
      <c r="B15" s="631" t="s">
        <v>556</v>
      </c>
      <c r="C15" s="631"/>
      <c r="D15" s="631"/>
      <c r="E15" s="632"/>
    </row>
    <row r="16" spans="1:11" ht="17.2" customHeight="1">
      <c r="A16" s="608"/>
      <c r="B16" s="253"/>
      <c r="C16" s="633" t="s">
        <v>1010</v>
      </c>
      <c r="D16" s="634"/>
      <c r="E16" s="635"/>
    </row>
    <row r="17" spans="1:11" ht="17.2" customHeight="1">
      <c r="A17" s="608"/>
      <c r="B17" s="253"/>
      <c r="C17" s="634" t="s">
        <v>557</v>
      </c>
      <c r="D17" s="634"/>
      <c r="E17" s="635"/>
    </row>
    <row r="18" spans="1:11" ht="65.3" customHeight="1" thickBot="1">
      <c r="A18" s="613"/>
      <c r="B18" s="636" t="s">
        <v>791</v>
      </c>
      <c r="C18" s="636"/>
      <c r="D18" s="636"/>
      <c r="E18" s="637"/>
    </row>
    <row r="19" spans="1:11" ht="37.35" hidden="1" customHeight="1">
      <c r="A19" s="608" t="s">
        <v>733</v>
      </c>
      <c r="B19" s="609" t="s">
        <v>558</v>
      </c>
      <c r="C19" s="609"/>
      <c r="D19" s="609"/>
      <c r="E19" s="610"/>
    </row>
    <row r="20" spans="1:11" ht="59.1" hidden="1" customHeight="1">
      <c r="A20" s="608"/>
      <c r="B20" s="609" t="s">
        <v>732</v>
      </c>
      <c r="C20" s="609"/>
      <c r="D20" s="609"/>
      <c r="E20" s="610"/>
    </row>
    <row r="21" spans="1:11" ht="78.05" hidden="1" customHeight="1">
      <c r="A21" s="608"/>
      <c r="B21" s="609" t="s">
        <v>559</v>
      </c>
      <c r="C21" s="609"/>
      <c r="D21" s="609"/>
      <c r="E21" s="610"/>
    </row>
    <row r="22" spans="1:11" ht="18" hidden="1" customHeight="1">
      <c r="A22" s="608"/>
      <c r="B22" s="609" t="s">
        <v>560</v>
      </c>
      <c r="C22" s="609"/>
      <c r="D22" s="609"/>
      <c r="E22" s="610"/>
    </row>
    <row r="23" spans="1:11" s="177" customFormat="1" ht="36.85" hidden="1" customHeight="1">
      <c r="A23" s="608"/>
      <c r="B23" s="609" t="s">
        <v>561</v>
      </c>
      <c r="C23" s="609"/>
      <c r="D23" s="609"/>
      <c r="E23" s="610"/>
      <c r="F23" s="261"/>
      <c r="G23" s="261"/>
      <c r="H23" s="261"/>
      <c r="I23" s="261"/>
      <c r="J23" s="261"/>
      <c r="K23" s="261"/>
    </row>
    <row r="24" spans="1:11" s="177" customFormat="1" ht="32.25" hidden="1" customHeight="1">
      <c r="A24" s="608"/>
      <c r="B24" s="609" t="s">
        <v>792</v>
      </c>
      <c r="C24" s="609"/>
      <c r="D24" s="609"/>
      <c r="E24" s="610"/>
      <c r="F24" s="261"/>
      <c r="G24" s="261"/>
      <c r="H24" s="261"/>
      <c r="I24" s="261"/>
      <c r="J24" s="261"/>
      <c r="K24" s="261"/>
    </row>
    <row r="25" spans="1:11" s="177" customFormat="1" ht="184.6" hidden="1" customHeight="1" thickBot="1">
      <c r="A25" s="608"/>
      <c r="B25" s="609" t="s">
        <v>793</v>
      </c>
      <c r="C25" s="609"/>
      <c r="D25" s="609"/>
      <c r="E25" s="610"/>
      <c r="F25" s="261"/>
      <c r="G25" s="261"/>
      <c r="H25" s="261"/>
      <c r="I25" s="261"/>
      <c r="J25" s="261"/>
      <c r="K25" s="261"/>
    </row>
    <row r="26" spans="1:11" s="177" customFormat="1" ht="32.1" hidden="1" customHeight="1" thickBot="1">
      <c r="A26" s="252" t="s">
        <v>734</v>
      </c>
      <c r="B26" s="619" t="s">
        <v>794</v>
      </c>
      <c r="C26" s="619"/>
      <c r="D26" s="619"/>
      <c r="E26" s="620"/>
      <c r="F26" s="261"/>
      <c r="G26" s="261"/>
      <c r="H26" s="261"/>
      <c r="I26" s="261"/>
      <c r="J26" s="261"/>
      <c r="K26" s="261"/>
    </row>
    <row r="27" spans="1:11" s="177" customFormat="1" ht="60.05" hidden="1" customHeight="1" thickBot="1">
      <c r="A27" s="252" t="s">
        <v>600</v>
      </c>
      <c r="B27" s="621" t="s">
        <v>795</v>
      </c>
      <c r="C27" s="619"/>
      <c r="D27" s="619"/>
      <c r="E27" s="620"/>
      <c r="F27" s="261"/>
      <c r="G27" s="261"/>
      <c r="H27" s="261"/>
      <c r="I27" s="261"/>
      <c r="J27" s="261"/>
      <c r="K27" s="261"/>
    </row>
    <row r="28" spans="1:11" s="177" customFormat="1" ht="32.1" hidden="1" customHeight="1" thickBot="1">
      <c r="A28" s="252" t="s">
        <v>735</v>
      </c>
      <c r="B28" s="619" t="s">
        <v>796</v>
      </c>
      <c r="C28" s="619"/>
      <c r="D28" s="619"/>
      <c r="E28" s="620"/>
      <c r="F28" s="261"/>
      <c r="G28" s="261"/>
      <c r="H28" s="261"/>
      <c r="I28" s="261"/>
      <c r="J28" s="261"/>
      <c r="K28" s="261"/>
    </row>
    <row r="29" spans="1:11" s="177" customFormat="1" ht="92.95" hidden="1" customHeight="1" thickBot="1">
      <c r="A29" s="251" t="s">
        <v>772</v>
      </c>
      <c r="B29" s="622" t="s">
        <v>862</v>
      </c>
      <c r="C29" s="606"/>
      <c r="D29" s="606"/>
      <c r="E29" s="607"/>
      <c r="F29" s="261"/>
      <c r="G29" s="261"/>
      <c r="H29" s="261"/>
      <c r="I29" s="261"/>
      <c r="J29" s="261"/>
      <c r="K29" s="261"/>
    </row>
    <row r="30" spans="1:11" s="177" customFormat="1" ht="297.85000000000002" hidden="1" customHeight="1" thickBot="1">
      <c r="A30" s="251" t="s">
        <v>773</v>
      </c>
      <c r="B30" s="621" t="s">
        <v>864</v>
      </c>
      <c r="C30" s="619"/>
      <c r="D30" s="619"/>
      <c r="E30" s="620"/>
      <c r="F30" s="261"/>
      <c r="G30" s="261"/>
      <c r="H30" s="261"/>
      <c r="I30" s="261"/>
      <c r="J30" s="261"/>
      <c r="K30" s="261"/>
    </row>
    <row r="31" spans="1:11" s="177" customFormat="1" ht="32.1" hidden="1" customHeight="1" thickBot="1">
      <c r="A31" s="252" t="s">
        <v>774</v>
      </c>
      <c r="B31" s="619" t="s">
        <v>797</v>
      </c>
      <c r="C31" s="619"/>
      <c r="D31" s="619"/>
      <c r="E31" s="620"/>
      <c r="F31" s="261"/>
      <c r="G31" s="261"/>
      <c r="H31" s="261"/>
      <c r="I31" s="261"/>
      <c r="J31" s="261"/>
      <c r="K31" s="261"/>
    </row>
    <row r="32" spans="1:11" s="177" customFormat="1" ht="32.1" hidden="1" customHeight="1" thickBot="1">
      <c r="A32" s="252" t="s">
        <v>775</v>
      </c>
      <c r="B32" s="619" t="s">
        <v>798</v>
      </c>
      <c r="C32" s="619"/>
      <c r="D32" s="619"/>
      <c r="E32" s="620"/>
      <c r="F32" s="261"/>
      <c r="G32" s="261"/>
      <c r="H32" s="261"/>
      <c r="I32" s="261"/>
      <c r="J32" s="261"/>
      <c r="K32" s="261"/>
    </row>
    <row r="33" spans="1:11" s="177" customFormat="1" ht="32.4" hidden="1" customHeight="1">
      <c r="A33" s="612" t="s">
        <v>799</v>
      </c>
      <c r="B33" s="614" t="s">
        <v>562</v>
      </c>
      <c r="C33" s="614"/>
      <c r="D33" s="614"/>
      <c r="E33" s="615"/>
      <c r="F33" s="261"/>
      <c r="G33" s="261"/>
      <c r="H33" s="261"/>
      <c r="I33" s="261"/>
      <c r="J33" s="261"/>
      <c r="K33" s="261"/>
    </row>
    <row r="34" spans="1:11" s="177" customFormat="1" ht="61.4" hidden="1" customHeight="1">
      <c r="A34" s="608"/>
      <c r="B34" s="609" t="s">
        <v>563</v>
      </c>
      <c r="C34" s="609"/>
      <c r="D34" s="609"/>
      <c r="E34" s="610"/>
      <c r="F34" s="261"/>
      <c r="G34" s="261"/>
      <c r="H34" s="261"/>
      <c r="I34" s="261"/>
      <c r="J34" s="261"/>
      <c r="K34" s="261"/>
    </row>
    <row r="35" spans="1:11" s="177" customFormat="1" ht="33.549999999999997" hidden="1" customHeight="1">
      <c r="A35" s="608"/>
      <c r="B35" s="609" t="s">
        <v>800</v>
      </c>
      <c r="C35" s="609"/>
      <c r="D35" s="609"/>
      <c r="E35" s="610"/>
      <c r="F35" s="261"/>
      <c r="G35" s="261"/>
      <c r="H35" s="261"/>
      <c r="I35" s="261"/>
      <c r="J35" s="261"/>
      <c r="K35" s="261"/>
    </row>
    <row r="36" spans="1:11" s="177" customFormat="1" ht="62.35" hidden="1" customHeight="1">
      <c r="A36" s="608"/>
      <c r="B36" s="609" t="s">
        <v>801</v>
      </c>
      <c r="C36" s="609"/>
      <c r="D36" s="609"/>
      <c r="E36" s="610"/>
      <c r="F36" s="261"/>
      <c r="G36" s="261"/>
      <c r="H36" s="261"/>
      <c r="I36" s="261"/>
      <c r="J36" s="261"/>
      <c r="K36" s="261"/>
    </row>
    <row r="37" spans="1:11" s="177" customFormat="1" ht="30.6" hidden="1" customHeight="1">
      <c r="A37" s="608"/>
      <c r="B37" s="616" t="s">
        <v>863</v>
      </c>
      <c r="C37" s="617"/>
      <c r="D37" s="617"/>
      <c r="E37" s="618"/>
      <c r="F37" s="261"/>
      <c r="G37" s="261"/>
      <c r="H37" s="261"/>
      <c r="I37" s="261"/>
      <c r="J37" s="261"/>
      <c r="K37" s="261"/>
    </row>
    <row r="38" spans="1:11" s="177" customFormat="1" ht="62.2" hidden="1" customHeight="1">
      <c r="A38" s="608"/>
      <c r="B38" s="609" t="s">
        <v>802</v>
      </c>
      <c r="C38" s="609"/>
      <c r="D38" s="609"/>
      <c r="E38" s="610"/>
      <c r="F38" s="261"/>
      <c r="G38" s="261"/>
      <c r="H38" s="261"/>
      <c r="I38" s="261"/>
      <c r="J38" s="261"/>
      <c r="K38" s="261"/>
    </row>
    <row r="39" spans="1:11" s="177" customFormat="1" ht="32.25" hidden="1" customHeight="1">
      <c r="A39" s="608"/>
      <c r="B39" s="609" t="s">
        <v>803</v>
      </c>
      <c r="C39" s="609"/>
      <c r="D39" s="609"/>
      <c r="E39" s="610"/>
      <c r="F39" s="261"/>
      <c r="G39" s="261"/>
      <c r="H39" s="261"/>
      <c r="I39" s="261"/>
      <c r="J39" s="261"/>
      <c r="K39" s="261"/>
    </row>
    <row r="40" spans="1:11" s="177" customFormat="1" ht="33.549999999999997" hidden="1" customHeight="1">
      <c r="A40" s="608"/>
      <c r="B40" s="609" t="s">
        <v>564</v>
      </c>
      <c r="C40" s="609"/>
      <c r="D40" s="609"/>
      <c r="E40" s="610"/>
      <c r="F40" s="261"/>
      <c r="G40" s="261"/>
      <c r="H40" s="261"/>
      <c r="I40" s="261"/>
      <c r="J40" s="261"/>
      <c r="K40" s="261"/>
    </row>
    <row r="41" spans="1:11" s="177" customFormat="1" ht="33.549999999999997" hidden="1" customHeight="1">
      <c r="A41" s="608"/>
      <c r="B41" s="609" t="s">
        <v>565</v>
      </c>
      <c r="C41" s="609"/>
      <c r="D41" s="609"/>
      <c r="E41" s="610"/>
      <c r="F41" s="261"/>
      <c r="G41" s="261"/>
      <c r="H41" s="261"/>
      <c r="I41" s="261"/>
      <c r="J41" s="261"/>
      <c r="K41" s="261"/>
    </row>
    <row r="42" spans="1:11" s="177" customFormat="1" ht="33.549999999999997" hidden="1" customHeight="1">
      <c r="A42" s="608"/>
      <c r="B42" s="609" t="s">
        <v>566</v>
      </c>
      <c r="C42" s="609"/>
      <c r="D42" s="609"/>
      <c r="E42" s="610"/>
      <c r="F42" s="261"/>
      <c r="G42" s="261"/>
      <c r="H42" s="261"/>
      <c r="I42" s="261"/>
      <c r="J42" s="261"/>
      <c r="K42" s="261"/>
    </row>
    <row r="43" spans="1:11" s="177" customFormat="1" ht="46.35" hidden="1" customHeight="1" thickBot="1">
      <c r="A43" s="613"/>
      <c r="B43" s="606" t="s">
        <v>567</v>
      </c>
      <c r="C43" s="606"/>
      <c r="D43" s="606"/>
      <c r="E43" s="607"/>
      <c r="F43" s="261"/>
      <c r="G43" s="261"/>
      <c r="H43" s="261"/>
      <c r="I43" s="261"/>
      <c r="J43" s="261"/>
      <c r="K43" s="261"/>
    </row>
    <row r="44" spans="1:11" ht="92.95" hidden="1" customHeight="1">
      <c r="A44" s="608" t="s">
        <v>736</v>
      </c>
      <c r="B44" s="609" t="s">
        <v>804</v>
      </c>
      <c r="C44" s="609"/>
      <c r="D44" s="609"/>
      <c r="E44" s="610"/>
    </row>
    <row r="45" spans="1:11" ht="17.2" hidden="1" customHeight="1">
      <c r="A45" s="608"/>
      <c r="B45" s="609" t="s">
        <v>568</v>
      </c>
      <c r="C45" s="609"/>
      <c r="D45" s="609"/>
      <c r="E45" s="610"/>
    </row>
    <row r="46" spans="1:11" ht="29.95" hidden="1" customHeight="1">
      <c r="A46" s="608"/>
      <c r="B46" s="254"/>
      <c r="C46" s="611" t="s">
        <v>805</v>
      </c>
      <c r="D46" s="611"/>
      <c r="E46" s="610"/>
    </row>
    <row r="47" spans="1:11" ht="49.6" hidden="1" customHeight="1">
      <c r="A47" s="608"/>
      <c r="B47" s="254"/>
      <c r="C47" s="609" t="s">
        <v>806</v>
      </c>
      <c r="D47" s="609"/>
      <c r="E47" s="610"/>
    </row>
    <row r="48" spans="1:11" ht="105.05" hidden="1" customHeight="1">
      <c r="A48" s="608"/>
      <c r="B48" s="255"/>
      <c r="C48" s="611" t="s">
        <v>569</v>
      </c>
      <c r="D48" s="611"/>
      <c r="E48" s="610"/>
    </row>
    <row r="49" spans="1:5" ht="76.45" hidden="1" customHeight="1">
      <c r="A49" s="608"/>
      <c r="B49" s="255"/>
      <c r="C49" s="611" t="s">
        <v>570</v>
      </c>
      <c r="D49" s="611"/>
      <c r="E49" s="610"/>
    </row>
    <row r="50" spans="1:5" ht="47.3" hidden="1" customHeight="1">
      <c r="A50" s="608"/>
      <c r="B50" s="255"/>
      <c r="C50" s="609" t="s">
        <v>571</v>
      </c>
      <c r="D50" s="609"/>
      <c r="E50" s="610"/>
    </row>
    <row r="51" spans="1:5" ht="107.2" hidden="1" customHeight="1">
      <c r="A51" s="608"/>
      <c r="C51" s="609" t="s">
        <v>572</v>
      </c>
      <c r="D51" s="609"/>
      <c r="E51" s="610"/>
    </row>
    <row r="52" spans="1:5" ht="77.25" hidden="1" customHeight="1">
      <c r="A52" s="608"/>
      <c r="C52" s="609" t="s">
        <v>573</v>
      </c>
      <c r="D52" s="609"/>
      <c r="E52" s="610"/>
    </row>
    <row r="53" spans="1:5" ht="63" hidden="1" customHeight="1">
      <c r="A53" s="608"/>
      <c r="C53" s="609" t="s">
        <v>807</v>
      </c>
      <c r="D53" s="609"/>
      <c r="E53" s="610"/>
    </row>
    <row r="54" spans="1:5" ht="78.05" hidden="1" customHeight="1" thickBot="1">
      <c r="A54" s="608"/>
      <c r="C54" s="611" t="s">
        <v>574</v>
      </c>
      <c r="D54" s="611"/>
      <c r="E54" s="610"/>
    </row>
    <row r="55" spans="1:5" ht="34.549999999999997" hidden="1" customHeight="1">
      <c r="A55" s="612" t="s">
        <v>737</v>
      </c>
      <c r="B55" s="642" t="s">
        <v>808</v>
      </c>
      <c r="C55" s="614"/>
      <c r="D55" s="614"/>
      <c r="E55" s="615"/>
    </row>
    <row r="56" spans="1:5" ht="36" hidden="1" customHeight="1">
      <c r="A56" s="608"/>
      <c r="B56" s="639" t="s">
        <v>739</v>
      </c>
      <c r="C56" s="609"/>
      <c r="D56" s="609"/>
      <c r="E56" s="610"/>
    </row>
    <row r="57" spans="1:5" ht="61.55" hidden="1" customHeight="1">
      <c r="A57" s="608"/>
      <c r="B57" s="609" t="s">
        <v>809</v>
      </c>
      <c r="C57" s="609"/>
      <c r="D57" s="609"/>
      <c r="E57" s="610"/>
    </row>
    <row r="58" spans="1:5" ht="47.45" hidden="1" customHeight="1">
      <c r="A58" s="608"/>
      <c r="B58" s="609" t="s">
        <v>810</v>
      </c>
      <c r="C58" s="609"/>
      <c r="D58" s="609"/>
      <c r="E58" s="610"/>
    </row>
    <row r="59" spans="1:5" ht="69.05" hidden="1" customHeight="1" thickBot="1">
      <c r="A59" s="613"/>
      <c r="B59" s="198"/>
      <c r="C59" s="643" t="s">
        <v>811</v>
      </c>
      <c r="D59" s="643"/>
      <c r="E59" s="607"/>
    </row>
    <row r="60" spans="1:5" ht="63.85" hidden="1" customHeight="1" thickBot="1">
      <c r="A60" s="252" t="s">
        <v>738</v>
      </c>
      <c r="B60" s="619" t="s">
        <v>741</v>
      </c>
      <c r="C60" s="619"/>
      <c r="D60" s="619"/>
      <c r="E60" s="620"/>
    </row>
    <row r="61" spans="1:5" ht="35.200000000000003" hidden="1" customHeight="1" thickBot="1">
      <c r="A61" s="252" t="s">
        <v>575</v>
      </c>
      <c r="B61" s="644" t="s">
        <v>576</v>
      </c>
      <c r="C61" s="644"/>
      <c r="D61" s="644"/>
      <c r="E61" s="645"/>
    </row>
    <row r="62" spans="1:5" ht="33.75" hidden="1" customHeight="1">
      <c r="A62" s="612" t="s">
        <v>813</v>
      </c>
      <c r="B62" s="640" t="s">
        <v>812</v>
      </c>
      <c r="C62" s="640"/>
      <c r="D62" s="640"/>
      <c r="E62" s="641"/>
    </row>
    <row r="63" spans="1:5" ht="92.3" hidden="1" customHeight="1">
      <c r="A63" s="608"/>
      <c r="B63" s="648" t="s">
        <v>742</v>
      </c>
      <c r="C63" s="648"/>
      <c r="D63" s="648"/>
      <c r="E63" s="649"/>
    </row>
    <row r="64" spans="1:5" ht="79.55" hidden="1" customHeight="1" thickBot="1">
      <c r="A64" s="613"/>
      <c r="B64" s="646" t="s">
        <v>814</v>
      </c>
      <c r="C64" s="646"/>
      <c r="D64" s="646"/>
      <c r="E64" s="647"/>
    </row>
    <row r="65" spans="1:5" ht="18" customHeight="1">
      <c r="A65" s="605" t="s">
        <v>97</v>
      </c>
      <c r="B65" s="605"/>
      <c r="C65" s="605"/>
      <c r="D65" s="605"/>
      <c r="E65" s="605"/>
    </row>
    <row r="66" spans="1:5" ht="13.95" customHeight="1">
      <c r="A66" s="638" t="str">
        <f>+Info!B1</f>
        <v>Ficheiro Apoio_LUMP SUM_V2026.02.24</v>
      </c>
      <c r="B66" s="638"/>
      <c r="C66" s="638"/>
      <c r="D66" s="638"/>
      <c r="E66" s="638"/>
    </row>
    <row r="67" spans="1:5" ht="45.65" customHeight="1"/>
  </sheetData>
  <sheetProtection algorithmName="SHA-512" hashValue="a8zR+lgQSylIQTroHvuspYzS74q+0heAbhmKNv8VVWQq4Ht9Lh35bTWmPJbh0CBq1qoVsBuWD63zCEMthmh9hg==" saltValue="aJFramwly6zRumL3NCG1ZA==" spinCount="100000" sheet="1" objects="1" scenarios="1"/>
  <mergeCells count="64">
    <mergeCell ref="A66:E66"/>
    <mergeCell ref="C46:E46"/>
    <mergeCell ref="B60:E60"/>
    <mergeCell ref="B56:E56"/>
    <mergeCell ref="A62:A64"/>
    <mergeCell ref="B62:E62"/>
    <mergeCell ref="C54:E54"/>
    <mergeCell ref="A55:A59"/>
    <mergeCell ref="B55:E55"/>
    <mergeCell ref="B57:E57"/>
    <mergeCell ref="B58:E58"/>
    <mergeCell ref="C59:E59"/>
    <mergeCell ref="B61:E61"/>
    <mergeCell ref="B64:E64"/>
    <mergeCell ref="C47:E47"/>
    <mergeCell ref="B63:E63"/>
    <mergeCell ref="B1:E1"/>
    <mergeCell ref="B2:E2"/>
    <mergeCell ref="A3:A18"/>
    <mergeCell ref="B3:C3"/>
    <mergeCell ref="B12:E12"/>
    <mergeCell ref="B13:E13"/>
    <mergeCell ref="B15:E15"/>
    <mergeCell ref="C16:E16"/>
    <mergeCell ref="C17:E17"/>
    <mergeCell ref="B18:E18"/>
    <mergeCell ref="B14:E14"/>
    <mergeCell ref="B39:E39"/>
    <mergeCell ref="B40:E40"/>
    <mergeCell ref="B41:E41"/>
    <mergeCell ref="B42:E42"/>
    <mergeCell ref="A19:A25"/>
    <mergeCell ref="B19:E19"/>
    <mergeCell ref="B20:E20"/>
    <mergeCell ref="B21:E21"/>
    <mergeCell ref="B22:E22"/>
    <mergeCell ref="B23:E23"/>
    <mergeCell ref="B24:E24"/>
    <mergeCell ref="B25:E25"/>
    <mergeCell ref="B31:E31"/>
    <mergeCell ref="B32:E32"/>
    <mergeCell ref="B35:E35"/>
    <mergeCell ref="B36:E36"/>
    <mergeCell ref="B26:E26"/>
    <mergeCell ref="B27:E27"/>
    <mergeCell ref="B28:E28"/>
    <mergeCell ref="B29:E29"/>
    <mergeCell ref="B30:E30"/>
    <mergeCell ref="A65:E65"/>
    <mergeCell ref="B43:E43"/>
    <mergeCell ref="A44:A54"/>
    <mergeCell ref="B44:E44"/>
    <mergeCell ref="B45:E45"/>
    <mergeCell ref="C48:E48"/>
    <mergeCell ref="C49:E49"/>
    <mergeCell ref="C50:E50"/>
    <mergeCell ref="C51:E51"/>
    <mergeCell ref="C52:E52"/>
    <mergeCell ref="C53:E53"/>
    <mergeCell ref="A33:A43"/>
    <mergeCell ref="B33:E33"/>
    <mergeCell ref="B34:E34"/>
    <mergeCell ref="B38:E38"/>
    <mergeCell ref="B37:E37"/>
  </mergeCells>
  <hyperlinks>
    <hyperlink ref="C16" r:id="rId1" display="&gt;&gt;  FCT - concursoprojetos@fct.pt " xr:uid="{FE55D612-C69E-4630-8FA5-1D50AAE566DF}"/>
    <hyperlink ref="C17" r:id="rId2" display="&gt;&gt; FCiências.ID - nacionaisID@fciencias-id.pt" xr:uid="{44E0B636-0DD4-4F2F-BF4E-5FC75EC44595}"/>
    <hyperlink ref="E4" r:id="rId3" xr:uid="{E61ABAFC-65ED-4A7C-8279-2AB129B16E3C}"/>
    <hyperlink ref="D4" r:id="rId4" xr:uid="{C413562C-FC61-44A9-9AD6-F511F33C5230}"/>
    <hyperlink ref="D11" r:id="rId5" xr:uid="{1A18BEF1-820A-409A-8A39-402ADBC0A7AB}"/>
    <hyperlink ref="D6" r:id="rId6" xr:uid="{D588555C-4D80-40FE-9E55-F85A9F0B4807}"/>
    <hyperlink ref="D5" r:id="rId7" xr:uid="{3ADCB8B5-C737-480F-B324-4CEF8432F460}"/>
    <hyperlink ref="D7" r:id="rId8" xr:uid="{02D984C8-E610-4112-AB6E-E8BF2BEF2A25}"/>
    <hyperlink ref="D9" r:id="rId9" xr:uid="{8017A775-420A-4948-859F-FF3C38F5ECF9}"/>
    <hyperlink ref="E8" r:id="rId10" xr:uid="{C31FD345-0156-403D-8EFE-057A1BD4F7EE}"/>
    <hyperlink ref="E5" r:id="rId11" xr:uid="{A7311F7A-9D92-4066-862C-1CE1160B271A}"/>
    <hyperlink ref="E7" r:id="rId12" xr:uid="{04CD0FA0-05BF-462A-A0D2-79ECC68CFB22}"/>
    <hyperlink ref="E10" r:id="rId13" xr:uid="{663C28A7-EF26-46C0-AD8B-D9EF9FB11859}"/>
    <hyperlink ref="D10" r:id="rId14" xr:uid="{948F20CA-033E-4CA4-BAFC-A4C15680E541}"/>
    <hyperlink ref="E11" r:id="rId15" xr:uid="{9B421A38-2D12-4C25-ADE4-CBAEC13F9CB2}"/>
  </hyperlinks>
  <pageMargins left="0.25" right="0.25" top="0.75" bottom="0.75" header="0.3" footer="0.3"/>
  <pageSetup paperSize="9" scale="77" fitToHeight="0" orientation="portrait" r:id="rId16"/>
  <headerFooter>
    <oddFooter>&amp;R&amp;P</oddFooter>
  </headerFooter>
  <drawing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5679-2866-4962-91DB-803084269E44}">
  <dimension ref="A1:AR48"/>
  <sheetViews>
    <sheetView topLeftCell="A2" zoomScale="130" zoomScaleNormal="130" workbookViewId="0">
      <selection activeCell="A2" sqref="A2:F2"/>
    </sheetView>
  </sheetViews>
  <sheetFormatPr defaultColWidth="8.88671875" defaultRowHeight="15.05"/>
  <cols>
    <col min="1" max="1" width="18.44140625" customWidth="1"/>
    <col min="7" max="8" width="15.88671875" style="110" hidden="1" customWidth="1"/>
    <col min="9" max="9" width="104.6640625" style="110" customWidth="1"/>
    <col min="10" max="44" width="9.109375" style="110"/>
  </cols>
  <sheetData>
    <row r="1" spans="1:9" hidden="1">
      <c r="A1">
        <v>1</v>
      </c>
      <c r="B1">
        <v>2</v>
      </c>
      <c r="C1">
        <v>3</v>
      </c>
      <c r="D1">
        <v>4</v>
      </c>
      <c r="E1">
        <v>5</v>
      </c>
      <c r="F1">
        <v>6</v>
      </c>
    </row>
    <row r="2" spans="1:9">
      <c r="A2" s="754" t="s">
        <v>850</v>
      </c>
      <c r="B2" s="754"/>
      <c r="C2" s="754"/>
      <c r="D2" s="754"/>
      <c r="E2" s="754"/>
      <c r="F2" s="755"/>
      <c r="G2" s="757" t="s">
        <v>916</v>
      </c>
      <c r="H2" s="757"/>
    </row>
    <row r="3" spans="1:9">
      <c r="A3" s="267" t="s">
        <v>78</v>
      </c>
      <c r="B3" s="268">
        <v>2025</v>
      </c>
      <c r="C3" s="268">
        <f>+B3+1</f>
        <v>2026</v>
      </c>
      <c r="D3" s="268">
        <f t="shared" ref="D3:F3" si="0">+C3+1</f>
        <v>2027</v>
      </c>
      <c r="E3" s="268">
        <f t="shared" si="0"/>
        <v>2028</v>
      </c>
      <c r="F3" s="458">
        <f t="shared" si="0"/>
        <v>2029</v>
      </c>
      <c r="G3" s="461" t="s">
        <v>914</v>
      </c>
      <c r="H3" s="461" t="s">
        <v>915</v>
      </c>
      <c r="I3" s="601" t="s">
        <v>1084</v>
      </c>
    </row>
    <row r="4" spans="1:9">
      <c r="A4" s="18" t="s">
        <v>858</v>
      </c>
      <c r="B4" s="367">
        <v>651.12</v>
      </c>
      <c r="C4" s="19">
        <f t="shared" ref="C4:F7" si="1">+B4+60</f>
        <v>711.12</v>
      </c>
      <c r="D4" s="19">
        <f t="shared" si="1"/>
        <v>771.12</v>
      </c>
      <c r="E4" s="19">
        <f t="shared" si="1"/>
        <v>831.12</v>
      </c>
      <c r="F4" s="459">
        <f t="shared" si="1"/>
        <v>891.12</v>
      </c>
      <c r="G4" s="461">
        <v>3</v>
      </c>
      <c r="H4" s="462"/>
      <c r="I4" s="599" t="s">
        <v>1090</v>
      </c>
    </row>
    <row r="5" spans="1:9">
      <c r="A5" s="18" t="s">
        <v>859</v>
      </c>
      <c r="B5" s="367">
        <v>1040.98</v>
      </c>
      <c r="C5" s="19">
        <f t="shared" si="1"/>
        <v>1100.98</v>
      </c>
      <c r="D5" s="19">
        <f t="shared" ref="D5:F7" si="2">+C5+60</f>
        <v>1160.98</v>
      </c>
      <c r="E5" s="19">
        <f t="shared" si="2"/>
        <v>1220.98</v>
      </c>
      <c r="F5" s="459">
        <f t="shared" si="2"/>
        <v>1280.98</v>
      </c>
      <c r="G5" s="461">
        <v>3</v>
      </c>
      <c r="H5" s="462"/>
      <c r="I5" s="599" t="s">
        <v>1087</v>
      </c>
    </row>
    <row r="6" spans="1:9">
      <c r="A6" s="18" t="s">
        <v>860</v>
      </c>
      <c r="B6" s="367">
        <v>1309.6400000000001</v>
      </c>
      <c r="C6" s="19">
        <f t="shared" si="1"/>
        <v>1369.64</v>
      </c>
      <c r="D6" s="19">
        <f t="shared" si="2"/>
        <v>1429.64</v>
      </c>
      <c r="E6" s="19">
        <f t="shared" si="2"/>
        <v>1489.64</v>
      </c>
      <c r="F6" s="459">
        <f t="shared" si="2"/>
        <v>1549.64</v>
      </c>
      <c r="G6" s="461">
        <v>3</v>
      </c>
      <c r="H6" s="462"/>
      <c r="I6" s="599" t="s">
        <v>1086</v>
      </c>
    </row>
    <row r="7" spans="1:9">
      <c r="A7" s="18" t="s">
        <v>861</v>
      </c>
      <c r="B7" s="367">
        <v>1851</v>
      </c>
      <c r="C7" s="19">
        <f t="shared" si="1"/>
        <v>1911</v>
      </c>
      <c r="D7" s="19">
        <f t="shared" si="2"/>
        <v>1971</v>
      </c>
      <c r="E7" s="19">
        <f t="shared" si="2"/>
        <v>2031</v>
      </c>
      <c r="F7" s="459">
        <f t="shared" si="2"/>
        <v>2091</v>
      </c>
      <c r="G7" s="461">
        <v>3</v>
      </c>
      <c r="H7" s="462"/>
      <c r="I7" s="600" t="s">
        <v>1085</v>
      </c>
    </row>
    <row r="8" spans="1:9" hidden="1">
      <c r="B8" s="368"/>
      <c r="C8" s="368"/>
      <c r="D8" s="121"/>
      <c r="E8" s="121"/>
      <c r="F8" s="121"/>
      <c r="G8" s="462"/>
      <c r="H8" s="462"/>
      <c r="I8" s="599"/>
    </row>
    <row r="9" spans="1:9" hidden="1">
      <c r="G9" s="462"/>
      <c r="H9" s="462"/>
      <c r="I9" s="599"/>
    </row>
    <row r="10" spans="1:9">
      <c r="A10" s="18" t="s">
        <v>79</v>
      </c>
      <c r="B10" s="367">
        <v>154.66</v>
      </c>
      <c r="C10" s="19">
        <f t="shared" ref="C10:F10" si="3">+B10+9</f>
        <v>163.66</v>
      </c>
      <c r="D10" s="19">
        <f t="shared" si="3"/>
        <v>172.66</v>
      </c>
      <c r="E10" s="19">
        <f t="shared" si="3"/>
        <v>181.66</v>
      </c>
      <c r="F10" s="459">
        <f t="shared" si="3"/>
        <v>190.66</v>
      </c>
      <c r="G10" s="462"/>
      <c r="H10" s="462"/>
      <c r="I10" s="599" t="s">
        <v>1089</v>
      </c>
    </row>
    <row r="11" spans="1:9">
      <c r="A11" s="18" t="s">
        <v>80</v>
      </c>
      <c r="B11" s="20">
        <v>105</v>
      </c>
      <c r="C11" s="20">
        <v>105</v>
      </c>
      <c r="D11" s="20">
        <v>105</v>
      </c>
      <c r="E11" s="20">
        <v>105</v>
      </c>
      <c r="F11" s="460">
        <v>105</v>
      </c>
      <c r="G11" s="462"/>
      <c r="H11" s="462"/>
      <c r="I11" s="599" t="s">
        <v>1088</v>
      </c>
    </row>
    <row r="12" spans="1:9" hidden="1">
      <c r="A12">
        <v>1</v>
      </c>
      <c r="B12">
        <v>2</v>
      </c>
      <c r="C12">
        <v>3</v>
      </c>
      <c r="D12">
        <v>4</v>
      </c>
      <c r="E12">
        <v>5</v>
      </c>
      <c r="F12">
        <v>6</v>
      </c>
    </row>
    <row r="13" spans="1:9" hidden="1"/>
    <row r="14" spans="1:9" hidden="1"/>
    <row r="15" spans="1:9" hidden="1">
      <c r="A15" t="s">
        <v>288</v>
      </c>
      <c r="B15">
        <v>12</v>
      </c>
    </row>
    <row r="16" spans="1:9" hidden="1">
      <c r="A16" t="s">
        <v>289</v>
      </c>
      <c r="B16">
        <v>18</v>
      </c>
    </row>
    <row r="17" spans="1:6" hidden="1">
      <c r="A17" t="s">
        <v>290</v>
      </c>
      <c r="B17">
        <v>18</v>
      </c>
    </row>
    <row r="18" spans="1:6" hidden="1">
      <c r="A18" t="s">
        <v>144</v>
      </c>
      <c r="B18">
        <v>18</v>
      </c>
    </row>
    <row r="19" spans="1:6" hidden="1">
      <c r="A19" t="s">
        <v>286</v>
      </c>
      <c r="B19">
        <v>12</v>
      </c>
    </row>
    <row r="21" spans="1:6">
      <c r="A21" s="756" t="s">
        <v>851</v>
      </c>
      <c r="B21" s="756"/>
      <c r="C21" s="756"/>
      <c r="D21" s="756"/>
      <c r="E21" s="756"/>
      <c r="F21" s="756"/>
    </row>
    <row r="22" spans="1:6">
      <c r="A22" s="110" t="s">
        <v>97</v>
      </c>
      <c r="B22" s="110"/>
      <c r="C22" s="110"/>
      <c r="D22" s="110"/>
      <c r="E22" s="110"/>
      <c r="F22" s="110"/>
    </row>
    <row r="23" spans="1:6">
      <c r="A23" s="110"/>
      <c r="B23" s="110"/>
      <c r="C23" s="110"/>
      <c r="D23" s="110"/>
      <c r="E23" s="110"/>
      <c r="F23" s="110"/>
    </row>
    <row r="24" spans="1:6">
      <c r="A24" s="110"/>
      <c r="B24" s="110"/>
      <c r="C24" s="110"/>
      <c r="D24" s="110"/>
      <c r="E24" s="110"/>
      <c r="F24" s="110"/>
    </row>
    <row r="25" spans="1:6">
      <c r="A25" s="110"/>
      <c r="B25" s="110"/>
      <c r="C25" s="110"/>
      <c r="D25" s="110"/>
      <c r="E25" s="110"/>
      <c r="F25" s="110"/>
    </row>
    <row r="26" spans="1:6">
      <c r="A26" s="110"/>
      <c r="B26" s="110"/>
      <c r="C26" s="110"/>
      <c r="D26" s="110"/>
      <c r="E26" s="110"/>
      <c r="F26" s="110"/>
    </row>
    <row r="27" spans="1:6">
      <c r="A27" s="110"/>
      <c r="B27" s="110"/>
      <c r="C27" s="110"/>
      <c r="D27" s="110"/>
      <c r="E27" s="110"/>
      <c r="F27" s="110"/>
    </row>
    <row r="28" spans="1:6">
      <c r="A28" s="110"/>
      <c r="B28" s="110"/>
      <c r="C28" s="110"/>
      <c r="D28" s="110"/>
      <c r="E28" s="110"/>
      <c r="F28" s="110"/>
    </row>
    <row r="29" spans="1:6">
      <c r="A29" s="110"/>
      <c r="B29" s="110"/>
      <c r="C29" s="110"/>
      <c r="D29" s="110"/>
      <c r="E29" s="110"/>
      <c r="F29" s="110"/>
    </row>
    <row r="30" spans="1:6">
      <c r="A30" s="110"/>
      <c r="B30" s="110"/>
      <c r="C30" s="110"/>
      <c r="D30" s="110"/>
      <c r="E30" s="110"/>
      <c r="F30" s="110"/>
    </row>
    <row r="31" spans="1:6">
      <c r="A31" s="110"/>
      <c r="B31" s="110"/>
      <c r="C31" s="110"/>
      <c r="D31" s="110"/>
      <c r="E31" s="110"/>
      <c r="F31" s="110"/>
    </row>
    <row r="32" spans="1:6">
      <c r="A32" s="110"/>
      <c r="B32" s="110"/>
      <c r="C32" s="110"/>
      <c r="D32" s="110"/>
      <c r="E32" s="110"/>
      <c r="F32" s="110"/>
    </row>
    <row r="33" spans="1:6">
      <c r="A33" s="110"/>
      <c r="B33" s="110"/>
      <c r="C33" s="110"/>
      <c r="D33" s="110"/>
      <c r="E33" s="110"/>
      <c r="F33" s="110"/>
    </row>
    <row r="34" spans="1:6">
      <c r="A34" s="110"/>
      <c r="B34" s="110"/>
      <c r="C34" s="110"/>
      <c r="D34" s="110"/>
      <c r="E34" s="110"/>
      <c r="F34" s="110"/>
    </row>
    <row r="35" spans="1:6">
      <c r="A35" s="110"/>
      <c r="B35" s="110"/>
      <c r="C35" s="110"/>
      <c r="D35" s="110"/>
      <c r="E35" s="110"/>
      <c r="F35" s="110"/>
    </row>
    <row r="36" spans="1:6">
      <c r="A36" s="110"/>
      <c r="B36" s="110"/>
      <c r="C36" s="110"/>
      <c r="D36" s="110"/>
      <c r="E36" s="110"/>
      <c r="F36" s="110"/>
    </row>
    <row r="37" spans="1:6">
      <c r="A37" s="110"/>
      <c r="B37" s="110"/>
      <c r="C37" s="110"/>
      <c r="D37" s="110"/>
      <c r="E37" s="110"/>
      <c r="F37" s="110"/>
    </row>
    <row r="38" spans="1:6">
      <c r="A38" s="110"/>
      <c r="B38" s="110"/>
      <c r="C38" s="110"/>
      <c r="D38" s="110"/>
      <c r="E38" s="110"/>
      <c r="F38" s="110"/>
    </row>
    <row r="39" spans="1:6">
      <c r="A39" s="110"/>
      <c r="B39" s="110"/>
      <c r="C39" s="110"/>
      <c r="D39" s="110"/>
      <c r="E39" s="110"/>
      <c r="F39" s="110"/>
    </row>
    <row r="40" spans="1:6">
      <c r="A40" s="110"/>
      <c r="B40" s="110"/>
      <c r="C40" s="110"/>
      <c r="D40" s="110"/>
      <c r="E40" s="110"/>
      <c r="F40" s="110"/>
    </row>
    <row r="41" spans="1:6">
      <c r="A41" s="110"/>
      <c r="B41" s="110"/>
      <c r="C41" s="110"/>
      <c r="D41" s="110"/>
      <c r="E41" s="110"/>
      <c r="F41" s="110"/>
    </row>
    <row r="42" spans="1:6">
      <c r="A42" s="110"/>
      <c r="B42" s="110"/>
      <c r="C42" s="110"/>
      <c r="D42" s="110"/>
      <c r="E42" s="110"/>
      <c r="F42" s="110"/>
    </row>
    <row r="43" spans="1:6">
      <c r="A43" s="110"/>
      <c r="B43" s="110"/>
      <c r="C43" s="110"/>
      <c r="D43" s="110"/>
      <c r="E43" s="110"/>
      <c r="F43" s="110"/>
    </row>
    <row r="44" spans="1:6">
      <c r="A44" s="110"/>
      <c r="B44" s="110"/>
      <c r="C44" s="110"/>
      <c r="D44" s="110"/>
      <c r="E44" s="110"/>
      <c r="F44" s="110"/>
    </row>
    <row r="45" spans="1:6">
      <c r="A45" s="110"/>
      <c r="B45" s="110"/>
      <c r="C45" s="110"/>
      <c r="D45" s="110"/>
      <c r="E45" s="110"/>
      <c r="F45" s="110"/>
    </row>
    <row r="46" spans="1:6">
      <c r="A46" s="110"/>
      <c r="B46" s="110"/>
      <c r="C46" s="110"/>
      <c r="D46" s="110"/>
      <c r="E46" s="110"/>
      <c r="F46" s="110"/>
    </row>
    <row r="47" spans="1:6">
      <c r="A47" s="110"/>
      <c r="B47" s="110"/>
      <c r="C47" s="110"/>
      <c r="D47" s="110"/>
      <c r="E47" s="110"/>
      <c r="F47" s="110"/>
    </row>
    <row r="48" spans="1:6">
      <c r="A48" s="110"/>
      <c r="B48" s="110"/>
      <c r="C48" s="110"/>
      <c r="D48" s="110"/>
      <c r="E48" s="110"/>
      <c r="F48" s="110"/>
    </row>
  </sheetData>
  <sheetProtection algorithmName="SHA-512" hashValue="0Hh6gmr/4E49dFykJS+OYnfnYe8qLNzIQ8qzIcRWPkHhcfl6GXsooL7yglCLYUvK5RsrJtBXiCdTMVws5AS71A==" saltValue="06omI3kvcT2ugrxJaGbgsg==" spinCount="100000" sheet="1" objects="1" scenarios="1"/>
  <sortState ref="A15:A38">
    <sortCondition ref="A15"/>
  </sortState>
  <mergeCells count="3">
    <mergeCell ref="A2:F2"/>
    <mergeCell ref="A21:F21"/>
    <mergeCell ref="G2:H2"/>
  </mergeCells>
  <dataValidations count="2">
    <dataValidation allowBlank="1" showInputMessage="1" showErrorMessage="1" promptTitle="SAP" prompt="Seguro de Acidentes Pessoais" sqref="A11" xr:uid="{EDD0B507-DBB5-4596-8B5B-74232D9AA1B5}"/>
    <dataValidation allowBlank="1" showInputMessage="1" showErrorMessage="1" promptTitle="SSV" prompt="Seguro Social Voluntário - Apenas para contratos de bolsa com duração igual ou superior a 6 meses." sqref="A10" xr:uid="{DAE1B016-FA9F-4698-A198-A9418EDD2E69}"/>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C3E4-42D5-409E-826F-CB9C22FB6D74}">
  <dimension ref="A1:BY30"/>
  <sheetViews>
    <sheetView zoomScale="90" zoomScaleNormal="90" workbookViewId="0">
      <pane xSplit="3" ySplit="4" topLeftCell="X5" activePane="bottomRight" state="frozen"/>
      <selection pane="topRight" activeCell="D1" sqref="D1"/>
      <selection pane="bottomLeft" activeCell="A5" sqref="A5"/>
      <selection pane="bottomRight" activeCell="BY1" sqref="BV1:BY1048576"/>
    </sheetView>
  </sheetViews>
  <sheetFormatPr defaultColWidth="8.88671875" defaultRowHeight="15.05"/>
  <cols>
    <col min="1" max="1" width="16.44140625" customWidth="1"/>
    <col min="2" max="2" width="21.44140625" customWidth="1"/>
    <col min="4" max="39" width="6.44140625" customWidth="1"/>
    <col min="40" max="41" width="7.109375" customWidth="1"/>
    <col min="42" max="51" width="6.44140625" customWidth="1"/>
    <col min="53" max="53" width="0" hidden="1" customWidth="1"/>
    <col min="54" max="73" width="7.44140625" hidden="1" customWidth="1"/>
  </cols>
  <sheetData>
    <row r="1" spans="1:77">
      <c r="D1" s="759">
        <f ca="1">+D3</f>
        <v>2026</v>
      </c>
      <c r="E1" s="759"/>
      <c r="F1" s="759"/>
      <c r="G1" s="759"/>
      <c r="H1" s="759"/>
      <c r="I1" s="759"/>
      <c r="J1" s="759"/>
      <c r="K1" s="759"/>
      <c r="L1" s="759"/>
      <c r="M1" s="759"/>
      <c r="N1" s="759"/>
      <c r="O1" s="759"/>
      <c r="P1" s="759">
        <f ca="1">+D1+1</f>
        <v>2027</v>
      </c>
      <c r="Q1" s="759"/>
      <c r="R1" s="759"/>
      <c r="S1" s="759"/>
      <c r="T1" s="759"/>
      <c r="U1" s="759"/>
      <c r="V1" s="759"/>
      <c r="W1" s="759"/>
      <c r="X1" s="759"/>
      <c r="Y1" s="759"/>
      <c r="Z1" s="759"/>
      <c r="AA1" s="759"/>
      <c r="AB1" s="759">
        <f ca="1">+P1+1</f>
        <v>2028</v>
      </c>
      <c r="AC1" s="759"/>
      <c r="AD1" s="759"/>
      <c r="AE1" s="759"/>
      <c r="AF1" s="759"/>
      <c r="AG1" s="759"/>
      <c r="AH1" s="759"/>
      <c r="AI1" s="759"/>
      <c r="AJ1" s="759"/>
      <c r="AK1" s="759"/>
      <c r="AL1" s="759"/>
      <c r="AM1" s="759"/>
      <c r="AN1" s="759">
        <f ca="1">+AB1+1</f>
        <v>2029</v>
      </c>
      <c r="AO1" s="759"/>
      <c r="AP1" s="759"/>
      <c r="AQ1" s="759"/>
      <c r="AR1" s="759"/>
      <c r="AS1" s="759"/>
      <c r="AT1" s="759"/>
      <c r="AU1" s="759"/>
      <c r="AV1" s="759"/>
      <c r="AW1" s="759"/>
      <c r="AX1" s="759"/>
      <c r="AY1" s="759"/>
    </row>
    <row r="2" spans="1:77">
      <c r="B2" s="212">
        <f ca="1">TODAY()</f>
        <v>46083</v>
      </c>
      <c r="D2" s="14">
        <f ca="1">HLOOKUP(D3,'4.2'!$A$3:$F$13,10,FALSE)</f>
        <v>3</v>
      </c>
      <c r="E2" s="14">
        <f ca="1">HLOOKUP(E3,'4.2'!$A$3:$F$13,10,FALSE)</f>
        <v>3</v>
      </c>
      <c r="F2" s="14">
        <f ca="1">HLOOKUP(F3,'4.2'!$A$3:$F$13,10,FALSE)</f>
        <v>3</v>
      </c>
      <c r="G2" s="14">
        <f ca="1">HLOOKUP(G3,'4.2'!$A$3:$F$13,10,FALSE)</f>
        <v>3</v>
      </c>
      <c r="H2" s="14">
        <f ca="1">HLOOKUP(H3,'4.2'!$A$3:$F$13,10,FALSE)</f>
        <v>3</v>
      </c>
      <c r="I2" s="14">
        <f ca="1">HLOOKUP(I3,'4.2'!$A$3:$F$13,10,FALSE)</f>
        <v>3</v>
      </c>
      <c r="J2" s="14">
        <f ca="1">HLOOKUP(J3,'4.2'!$A$3:$F$13,10,FALSE)</f>
        <v>3</v>
      </c>
      <c r="K2" s="14">
        <f ca="1">HLOOKUP(K3,'4.2'!$A$3:$F$13,10,FALSE)</f>
        <v>3</v>
      </c>
      <c r="L2" s="14">
        <f ca="1">HLOOKUP(L3,'4.2'!$A$3:$F$13,10,FALSE)</f>
        <v>3</v>
      </c>
      <c r="M2" s="14">
        <f ca="1">HLOOKUP(M3,'4.2'!$A$3:$F$13,10,FALSE)</f>
        <v>3</v>
      </c>
      <c r="N2" s="14">
        <f ca="1">HLOOKUP(N3,'4.2'!$A$3:$F$13,10,FALSE)</f>
        <v>3</v>
      </c>
      <c r="O2" s="14">
        <f ca="1">HLOOKUP(O3,'4.2'!$A$3:$F$13,10,FALSE)</f>
        <v>3</v>
      </c>
      <c r="P2" s="14">
        <f ca="1">HLOOKUP(P3,'4.2'!$A$3:$F$13,10,FALSE)</f>
        <v>4</v>
      </c>
      <c r="Q2" s="14">
        <f ca="1">HLOOKUP(Q3,'4.2'!$A$3:$F$13,10,FALSE)</f>
        <v>4</v>
      </c>
      <c r="R2" s="14">
        <f ca="1">HLOOKUP(R3,'4.2'!$A$3:$F$13,10,FALSE)</f>
        <v>4</v>
      </c>
      <c r="S2" s="14">
        <f ca="1">HLOOKUP(S3,'4.2'!$A$3:$F$13,10,FALSE)</f>
        <v>4</v>
      </c>
      <c r="T2" s="14">
        <f ca="1">HLOOKUP(T3,'4.2'!$A$3:$F$13,10,FALSE)</f>
        <v>4</v>
      </c>
      <c r="U2" s="14">
        <f ca="1">HLOOKUP(U3,'4.2'!$A$3:$F$13,10,FALSE)</f>
        <v>4</v>
      </c>
      <c r="V2" s="14">
        <f ca="1">HLOOKUP(V3,'4.2'!$A$3:$F$13,10,FALSE)</f>
        <v>4</v>
      </c>
      <c r="W2" s="14">
        <f ca="1">HLOOKUP(W3,'4.2'!$A$3:$F$13,10,FALSE)</f>
        <v>4</v>
      </c>
      <c r="X2" s="14">
        <f ca="1">HLOOKUP(X3,'4.2'!$A$3:$F$13,10,FALSE)</f>
        <v>4</v>
      </c>
      <c r="Y2" s="14">
        <f ca="1">HLOOKUP(Y3,'4.2'!$A$3:$F$13,10,FALSE)</f>
        <v>4</v>
      </c>
      <c r="Z2" s="14">
        <f ca="1">HLOOKUP(Z3,'4.2'!$A$3:$F$13,10,FALSE)</f>
        <v>4</v>
      </c>
      <c r="AA2" s="14">
        <f ca="1">HLOOKUP(AA3,'4.2'!$A$3:$F$13,10,FALSE)</f>
        <v>4</v>
      </c>
      <c r="AB2" s="14">
        <f ca="1">HLOOKUP(AB3,'4.2'!$A$3:$F$13,10,FALSE)</f>
        <v>5</v>
      </c>
      <c r="AC2" s="14">
        <f ca="1">HLOOKUP(AC3,'4.2'!$A$3:$F$13,10,FALSE)</f>
        <v>5</v>
      </c>
      <c r="AD2" s="14">
        <f ca="1">HLOOKUP(AD3,'4.2'!$A$3:$F$13,10,FALSE)</f>
        <v>5</v>
      </c>
      <c r="AE2" s="14">
        <f ca="1">HLOOKUP(AE3,'4.2'!$A$3:$F$13,10,FALSE)</f>
        <v>5</v>
      </c>
      <c r="AF2" s="14">
        <f ca="1">HLOOKUP(AF3,'4.2'!$A$3:$F$13,10,FALSE)</f>
        <v>5</v>
      </c>
      <c r="AG2" s="14">
        <f ca="1">HLOOKUP(AG3,'4.2'!$A$3:$F$13,10,FALSE)</f>
        <v>5</v>
      </c>
      <c r="AH2" s="14">
        <f ca="1">HLOOKUP(AH3,'4.2'!$A$3:$F$13,10,FALSE)</f>
        <v>5</v>
      </c>
      <c r="AI2" s="14">
        <f ca="1">HLOOKUP(AI3,'4.2'!$A$3:$F$13,10,FALSE)</f>
        <v>5</v>
      </c>
      <c r="AJ2" s="14">
        <f ca="1">HLOOKUP(AJ3,'4.2'!$A$3:$F$13,10,FALSE)</f>
        <v>5</v>
      </c>
      <c r="AK2" s="14">
        <f ca="1">HLOOKUP(AK3,'4.2'!$A$3:$F$13,10,FALSE)</f>
        <v>5</v>
      </c>
      <c r="AL2" s="14">
        <f ca="1">HLOOKUP(AL3,'4.2'!$A$3:$F$13,10,FALSE)</f>
        <v>5</v>
      </c>
      <c r="AM2" s="14">
        <f ca="1">HLOOKUP(AM3,'4.2'!$A$3:$F$13,10,FALSE)</f>
        <v>5</v>
      </c>
      <c r="AN2" s="14">
        <f ca="1">HLOOKUP(AN3,'4.2'!$A$3:$F$13,10,FALSE)</f>
        <v>6</v>
      </c>
      <c r="AO2" s="14">
        <f ca="1">HLOOKUP(AO3,'4.2'!$A$3:$F$13,10,FALSE)</f>
        <v>6</v>
      </c>
      <c r="AP2" s="14">
        <f ca="1">HLOOKUP(AP3,'4.2'!$A$3:$F$13,10,FALSE)</f>
        <v>6</v>
      </c>
      <c r="AQ2" s="14">
        <f ca="1">HLOOKUP(AQ3,'4.2'!$A$3:$F$13,10,FALSE)</f>
        <v>6</v>
      </c>
      <c r="AR2" s="14">
        <f ca="1">HLOOKUP(AR3,'4.2'!$A$3:$F$13,10,FALSE)</f>
        <v>6</v>
      </c>
      <c r="AS2" s="14">
        <f ca="1">HLOOKUP(AS3,'4.2'!$A$3:$F$13,10,FALSE)</f>
        <v>6</v>
      </c>
      <c r="AT2" s="14">
        <f ca="1">HLOOKUP(AT3,'4.2'!$A$3:$F$13,10,FALSE)</f>
        <v>6</v>
      </c>
      <c r="AU2" s="14">
        <f ca="1">HLOOKUP(AU3,'4.2'!$A$3:$F$13,10,FALSE)</f>
        <v>6</v>
      </c>
      <c r="AV2" s="14">
        <f ca="1">HLOOKUP(AV3,'4.2'!$A$3:$F$13,10,FALSE)</f>
        <v>6</v>
      </c>
      <c r="AW2" s="14">
        <f ca="1">HLOOKUP(AW3,'4.2'!$A$3:$F$13,10,FALSE)</f>
        <v>6</v>
      </c>
      <c r="AX2" s="14">
        <f ca="1">HLOOKUP(AX3,'4.2'!$A$3:$F$13,10,FALSE)</f>
        <v>6</v>
      </c>
      <c r="AY2" s="14">
        <f ca="1">HLOOKUP(AY3,'4.2'!$A$3:$F$13,10,FALSE)</f>
        <v>6</v>
      </c>
    </row>
    <row r="3" spans="1:77">
      <c r="D3" s="13">
        <f ca="1">+'3.Tasks'!J1</f>
        <v>2026</v>
      </c>
      <c r="E3" s="13">
        <f ca="1">+D3</f>
        <v>2026</v>
      </c>
      <c r="F3" s="13">
        <f t="shared" ref="F3:N3" ca="1" si="0">+E3</f>
        <v>2026</v>
      </c>
      <c r="G3" s="13">
        <f t="shared" ca="1" si="0"/>
        <v>2026</v>
      </c>
      <c r="H3" s="13">
        <f t="shared" ca="1" si="0"/>
        <v>2026</v>
      </c>
      <c r="I3" s="13">
        <f t="shared" ca="1" si="0"/>
        <v>2026</v>
      </c>
      <c r="J3" s="13">
        <f t="shared" ca="1" si="0"/>
        <v>2026</v>
      </c>
      <c r="K3" s="13">
        <f t="shared" ca="1" si="0"/>
        <v>2026</v>
      </c>
      <c r="L3" s="13">
        <f t="shared" ca="1" si="0"/>
        <v>2026</v>
      </c>
      <c r="M3" s="13">
        <f t="shared" ca="1" si="0"/>
        <v>2026</v>
      </c>
      <c r="N3" s="13">
        <f t="shared" ca="1" si="0"/>
        <v>2026</v>
      </c>
      <c r="O3" s="13">
        <f ca="1">+N3</f>
        <v>2026</v>
      </c>
      <c r="P3" s="13">
        <f ca="1">+P1</f>
        <v>2027</v>
      </c>
      <c r="Q3" s="13">
        <f ca="1">+P3</f>
        <v>2027</v>
      </c>
      <c r="R3" s="13">
        <f t="shared" ref="R3:AA3" ca="1" si="1">+Q3</f>
        <v>2027</v>
      </c>
      <c r="S3" s="13">
        <f t="shared" ca="1" si="1"/>
        <v>2027</v>
      </c>
      <c r="T3" s="13">
        <f t="shared" ca="1" si="1"/>
        <v>2027</v>
      </c>
      <c r="U3" s="13">
        <f t="shared" ca="1" si="1"/>
        <v>2027</v>
      </c>
      <c r="V3" s="13">
        <f t="shared" ca="1" si="1"/>
        <v>2027</v>
      </c>
      <c r="W3" s="13">
        <f t="shared" ca="1" si="1"/>
        <v>2027</v>
      </c>
      <c r="X3" s="13">
        <f t="shared" ca="1" si="1"/>
        <v>2027</v>
      </c>
      <c r="Y3" s="13">
        <f t="shared" ca="1" si="1"/>
        <v>2027</v>
      </c>
      <c r="Z3" s="13">
        <f t="shared" ca="1" si="1"/>
        <v>2027</v>
      </c>
      <c r="AA3" s="13">
        <f t="shared" ca="1" si="1"/>
        <v>2027</v>
      </c>
      <c r="AB3" s="13">
        <f ca="1">+AB1</f>
        <v>2028</v>
      </c>
      <c r="AC3" s="13">
        <f ca="1">+AB3</f>
        <v>2028</v>
      </c>
      <c r="AD3" s="13">
        <f t="shared" ref="AD3:AM3" ca="1" si="2">+AC3</f>
        <v>2028</v>
      </c>
      <c r="AE3" s="13">
        <f t="shared" ca="1" si="2"/>
        <v>2028</v>
      </c>
      <c r="AF3" s="13">
        <f t="shared" ca="1" si="2"/>
        <v>2028</v>
      </c>
      <c r="AG3" s="13">
        <f t="shared" ca="1" si="2"/>
        <v>2028</v>
      </c>
      <c r="AH3" s="13">
        <f t="shared" ca="1" si="2"/>
        <v>2028</v>
      </c>
      <c r="AI3" s="13">
        <f t="shared" ca="1" si="2"/>
        <v>2028</v>
      </c>
      <c r="AJ3" s="13">
        <f t="shared" ca="1" si="2"/>
        <v>2028</v>
      </c>
      <c r="AK3" s="13">
        <f t="shared" ca="1" si="2"/>
        <v>2028</v>
      </c>
      <c r="AL3" s="13">
        <f t="shared" ca="1" si="2"/>
        <v>2028</v>
      </c>
      <c r="AM3" s="13">
        <f t="shared" ca="1" si="2"/>
        <v>2028</v>
      </c>
      <c r="AN3" s="13">
        <f ca="1">+$AN1</f>
        <v>2029</v>
      </c>
      <c r="AO3" s="13">
        <f t="shared" ref="AO3:AY3" ca="1" si="3">+$AN1</f>
        <v>2029</v>
      </c>
      <c r="AP3" s="13">
        <f t="shared" ca="1" si="3"/>
        <v>2029</v>
      </c>
      <c r="AQ3" s="13">
        <f t="shared" ca="1" si="3"/>
        <v>2029</v>
      </c>
      <c r="AR3" s="13">
        <f t="shared" ca="1" si="3"/>
        <v>2029</v>
      </c>
      <c r="AS3" s="13">
        <f t="shared" ca="1" si="3"/>
        <v>2029</v>
      </c>
      <c r="AT3" s="13">
        <f t="shared" ca="1" si="3"/>
        <v>2029</v>
      </c>
      <c r="AU3" s="13">
        <f t="shared" ca="1" si="3"/>
        <v>2029</v>
      </c>
      <c r="AV3" s="13">
        <f t="shared" ca="1" si="3"/>
        <v>2029</v>
      </c>
      <c r="AW3" s="13">
        <f t="shared" ca="1" si="3"/>
        <v>2029</v>
      </c>
      <c r="AX3" s="13">
        <f t="shared" ca="1" si="3"/>
        <v>2029</v>
      </c>
      <c r="AY3" s="13">
        <f t="shared" ca="1" si="3"/>
        <v>2029</v>
      </c>
      <c r="BB3" s="758" t="s">
        <v>85</v>
      </c>
      <c r="BC3" s="758"/>
      <c r="BD3" s="758"/>
      <c r="BE3" s="758"/>
      <c r="BF3" s="758"/>
      <c r="BG3" s="758"/>
      <c r="BH3" s="758"/>
      <c r="BI3" s="758"/>
      <c r="BJ3" s="758"/>
      <c r="BK3" s="758"/>
      <c r="BL3" s="758"/>
      <c r="BM3" s="758"/>
      <c r="BN3" s="758"/>
      <c r="BO3" s="758"/>
      <c r="BP3" s="758"/>
      <c r="BQ3" s="758"/>
      <c r="BR3" s="758"/>
      <c r="BS3" s="758"/>
      <c r="BT3" s="758"/>
      <c r="BU3" s="758"/>
      <c r="BV3">
        <f ca="1">+D3</f>
        <v>2026</v>
      </c>
      <c r="BW3">
        <f ca="1">+P3</f>
        <v>2027</v>
      </c>
      <c r="BX3">
        <f ca="1">+AB3</f>
        <v>2028</v>
      </c>
      <c r="BY3">
        <f ca="1">+AN3</f>
        <v>2029</v>
      </c>
    </row>
    <row r="4" spans="1:77">
      <c r="D4" s="13" t="s">
        <v>2</v>
      </c>
      <c r="E4" s="13" t="s">
        <v>3</v>
      </c>
      <c r="F4" s="13" t="s">
        <v>4</v>
      </c>
      <c r="G4" s="13" t="s">
        <v>5</v>
      </c>
      <c r="H4" s="13" t="s">
        <v>4</v>
      </c>
      <c r="I4" s="13" t="s">
        <v>2</v>
      </c>
      <c r="J4" s="13" t="s">
        <v>2</v>
      </c>
      <c r="K4" s="13" t="s">
        <v>5</v>
      </c>
      <c r="L4" s="13" t="s">
        <v>6</v>
      </c>
      <c r="M4" s="13" t="s">
        <v>7</v>
      </c>
      <c r="N4" s="13" t="s">
        <v>8</v>
      </c>
      <c r="O4" s="13" t="s">
        <v>9</v>
      </c>
      <c r="P4" s="13" t="s">
        <v>2</v>
      </c>
      <c r="Q4" s="13" t="s">
        <v>3</v>
      </c>
      <c r="R4" s="13" t="s">
        <v>4</v>
      </c>
      <c r="S4" s="13" t="s">
        <v>5</v>
      </c>
      <c r="T4" s="13" t="s">
        <v>4</v>
      </c>
      <c r="U4" s="13" t="s">
        <v>2</v>
      </c>
      <c r="V4" s="13" t="s">
        <v>2</v>
      </c>
      <c r="W4" s="13" t="s">
        <v>5</v>
      </c>
      <c r="X4" s="13" t="s">
        <v>6</v>
      </c>
      <c r="Y4" s="13" t="s">
        <v>7</v>
      </c>
      <c r="Z4" s="13" t="s">
        <v>8</v>
      </c>
      <c r="AA4" s="13" t="s">
        <v>9</v>
      </c>
      <c r="AB4" s="13" t="s">
        <v>2</v>
      </c>
      <c r="AC4" s="13" t="s">
        <v>3</v>
      </c>
      <c r="AD4" s="13" t="s">
        <v>4</v>
      </c>
      <c r="AE4" s="13" t="s">
        <v>5</v>
      </c>
      <c r="AF4" s="13" t="s">
        <v>4</v>
      </c>
      <c r="AG4" s="13" t="s">
        <v>2</v>
      </c>
      <c r="AH4" s="13" t="s">
        <v>2</v>
      </c>
      <c r="AI4" s="13" t="s">
        <v>5</v>
      </c>
      <c r="AJ4" s="13" t="s">
        <v>6</v>
      </c>
      <c r="AK4" s="13" t="s">
        <v>7</v>
      </c>
      <c r="AL4" s="13" t="s">
        <v>8</v>
      </c>
      <c r="AM4" s="13" t="s">
        <v>9</v>
      </c>
      <c r="AN4" s="13" t="s">
        <v>2</v>
      </c>
      <c r="AO4" s="13" t="s">
        <v>3</v>
      </c>
      <c r="AP4" s="13" t="s">
        <v>4</v>
      </c>
      <c r="AQ4" s="13" t="s">
        <v>5</v>
      </c>
      <c r="AR4" s="13" t="s">
        <v>4</v>
      </c>
      <c r="AS4" s="13" t="s">
        <v>2</v>
      </c>
      <c r="AT4" s="13" t="s">
        <v>2</v>
      </c>
      <c r="AU4" s="13" t="s">
        <v>5</v>
      </c>
      <c r="AV4" s="13" t="s">
        <v>6</v>
      </c>
      <c r="AW4" s="13" t="s">
        <v>7</v>
      </c>
      <c r="AX4" s="13" t="s">
        <v>8</v>
      </c>
      <c r="AY4" s="13" t="s">
        <v>9</v>
      </c>
      <c r="BB4" s="12" t="s">
        <v>18</v>
      </c>
      <c r="BC4" s="12" t="s">
        <v>19</v>
      </c>
      <c r="BD4" s="12" t="s">
        <v>20</v>
      </c>
      <c r="BE4" s="12" t="s">
        <v>21</v>
      </c>
      <c r="BF4" s="12" t="s">
        <v>22</v>
      </c>
      <c r="BG4" s="12" t="s">
        <v>23</v>
      </c>
      <c r="BH4" s="12" t="s">
        <v>24</v>
      </c>
      <c r="BI4" s="12" t="s">
        <v>25</v>
      </c>
      <c r="BJ4" s="12" t="s">
        <v>26</v>
      </c>
      <c r="BK4" s="12" t="s">
        <v>27</v>
      </c>
      <c r="BL4" s="12" t="s">
        <v>28</v>
      </c>
      <c r="BM4" s="12" t="s">
        <v>29</v>
      </c>
      <c r="BN4" s="12" t="s">
        <v>30</v>
      </c>
      <c r="BO4" s="12" t="s">
        <v>31</v>
      </c>
      <c r="BP4" s="12" t="s">
        <v>32</v>
      </c>
      <c r="BQ4" s="12" t="s">
        <v>33</v>
      </c>
      <c r="BR4" s="12" t="s">
        <v>34</v>
      </c>
      <c r="BS4" s="12" t="s">
        <v>35</v>
      </c>
      <c r="BT4" s="12" t="s">
        <v>36</v>
      </c>
      <c r="BU4" s="12" t="s">
        <v>37</v>
      </c>
    </row>
    <row r="5" spans="1:77" s="23" customFormat="1">
      <c r="A5" s="23">
        <f>+'4.Team'!C43</f>
        <v>0</v>
      </c>
      <c r="B5" s="15" t="s">
        <v>13</v>
      </c>
      <c r="C5" s="23" t="s">
        <v>1</v>
      </c>
      <c r="D5" s="24">
        <f ca="1">+'4.Team'!J43</f>
        <v>0</v>
      </c>
      <c r="E5" s="24">
        <f ca="1">+'4.Team'!K43</f>
        <v>0</v>
      </c>
      <c r="F5" s="24" t="e">
        <f ca="1">+'4.Team'!L43</f>
        <v>#N/A</v>
      </c>
      <c r="G5" s="24" t="e">
        <f ca="1">+'4.Team'!M43</f>
        <v>#N/A</v>
      </c>
      <c r="H5" s="24" t="e">
        <f ca="1">+'4.Team'!N43</f>
        <v>#N/A</v>
      </c>
      <c r="I5" s="24" t="e">
        <f ca="1">+'4.Team'!O43</f>
        <v>#N/A</v>
      </c>
      <c r="J5" s="24" t="e">
        <f ca="1">+'4.Team'!P43</f>
        <v>#N/A</v>
      </c>
      <c r="K5" s="24" t="e">
        <f ca="1">+'4.Team'!Q43</f>
        <v>#N/A</v>
      </c>
      <c r="L5" s="24" t="e">
        <f ca="1">+'4.Team'!R43</f>
        <v>#N/A</v>
      </c>
      <c r="M5" s="24" t="e">
        <f ca="1">+'4.Team'!S43</f>
        <v>#N/A</v>
      </c>
      <c r="N5" s="24" t="e">
        <f ca="1">+'4.Team'!T43</f>
        <v>#N/A</v>
      </c>
      <c r="O5" s="24" t="e">
        <f ca="1">+'4.Team'!U43</f>
        <v>#N/A</v>
      </c>
      <c r="P5" s="24" t="e">
        <f ca="1">+'4.Team'!V43</f>
        <v>#N/A</v>
      </c>
      <c r="Q5" s="24" t="e">
        <f ca="1">+'4.Team'!W43</f>
        <v>#N/A</v>
      </c>
      <c r="R5" s="24" t="e">
        <f ca="1">+'4.Team'!X43</f>
        <v>#N/A</v>
      </c>
      <c r="S5" s="24" t="e">
        <f ca="1">+'4.Team'!Y43</f>
        <v>#N/A</v>
      </c>
      <c r="T5" s="24" t="e">
        <f ca="1">+'4.Team'!Z43</f>
        <v>#N/A</v>
      </c>
      <c r="U5" s="24" t="e">
        <f ca="1">+'4.Team'!AA43</f>
        <v>#N/A</v>
      </c>
      <c r="V5" s="24" t="e">
        <f ca="1">+'4.Team'!AB43</f>
        <v>#N/A</v>
      </c>
      <c r="W5" s="24" t="e">
        <f ca="1">+'4.Team'!AC43</f>
        <v>#N/A</v>
      </c>
      <c r="X5" s="24" t="e">
        <f ca="1">+'4.Team'!AD43</f>
        <v>#N/A</v>
      </c>
      <c r="Y5" s="24" t="e">
        <f ca="1">+'4.Team'!AE43</f>
        <v>#N/A</v>
      </c>
      <c r="Z5" s="24" t="e">
        <f ca="1">+'4.Team'!AF43</f>
        <v>#N/A</v>
      </c>
      <c r="AA5" s="24" t="e">
        <f ca="1">+'4.Team'!AG43</f>
        <v>#N/A</v>
      </c>
      <c r="AB5" s="24" t="e">
        <f ca="1">+'4.Team'!AH43</f>
        <v>#N/A</v>
      </c>
      <c r="AC5" s="24" t="e">
        <f ca="1">+'4.Team'!AI43</f>
        <v>#N/A</v>
      </c>
      <c r="AD5" s="24" t="e">
        <f ca="1">+'4.Team'!AJ43</f>
        <v>#N/A</v>
      </c>
      <c r="AE5" s="24" t="e">
        <f ca="1">+'4.Team'!AK43</f>
        <v>#N/A</v>
      </c>
      <c r="AF5" s="24" t="e">
        <f ca="1">+'4.Team'!AL43</f>
        <v>#N/A</v>
      </c>
      <c r="AG5" s="24" t="e">
        <f ca="1">+'4.Team'!AM43</f>
        <v>#N/A</v>
      </c>
      <c r="AH5" s="24" t="e">
        <f ca="1">+'4.Team'!AN43</f>
        <v>#N/A</v>
      </c>
      <c r="AI5" s="24" t="e">
        <f ca="1">+'4.Team'!AO43</f>
        <v>#N/A</v>
      </c>
      <c r="AJ5" s="24" t="e">
        <f ca="1">+'4.Team'!AP43</f>
        <v>#N/A</v>
      </c>
      <c r="AK5" s="24" t="e">
        <f ca="1">+'4.Team'!AQ43</f>
        <v>#N/A</v>
      </c>
      <c r="AL5" s="24" t="e">
        <f ca="1">+'4.Team'!AR43</f>
        <v>#N/A</v>
      </c>
      <c r="AM5" s="24" t="e">
        <f ca="1">+'4.Team'!AS43</f>
        <v>#N/A</v>
      </c>
      <c r="AN5" s="24" t="e">
        <f ca="1">+'4.Team'!AT43</f>
        <v>#N/A</v>
      </c>
      <c r="AO5" s="24" t="e">
        <f ca="1">+'4.Team'!AU43</f>
        <v>#N/A</v>
      </c>
      <c r="AP5" s="24" t="e">
        <f ca="1">+'4.Team'!AV43</f>
        <v>#N/A</v>
      </c>
      <c r="AQ5" s="24" t="e">
        <f ca="1">+'4.Team'!AW43</f>
        <v>#N/A</v>
      </c>
      <c r="AR5" s="24" t="e">
        <f ca="1">+'4.Team'!AX43</f>
        <v>#N/A</v>
      </c>
      <c r="AS5" s="24" t="e">
        <f ca="1">+'4.Team'!AY43</f>
        <v>#N/A</v>
      </c>
      <c r="AT5" s="24" t="e">
        <f ca="1">+'4.Team'!AZ43</f>
        <v>#N/A</v>
      </c>
      <c r="AU5" s="24" t="e">
        <f ca="1">+'4.Team'!BA43</f>
        <v>#N/A</v>
      </c>
      <c r="AV5" s="24" t="e">
        <f ca="1">+'4.Team'!BB43</f>
        <v>#N/A</v>
      </c>
      <c r="AW5" s="24" t="e">
        <f ca="1">+'4.Team'!BC43</f>
        <v>#N/A</v>
      </c>
      <c r="AX5" s="24" t="e">
        <f ca="1">+'4.Team'!BD43</f>
        <v>#N/A</v>
      </c>
      <c r="AY5" s="24" t="e">
        <f ca="1">+'4.Team'!BE43</f>
        <v>#N/A</v>
      </c>
      <c r="AZ5" s="23" t="e">
        <f ca="1">SUM(D5:AY5)</f>
        <v>#N/A</v>
      </c>
      <c r="BA5" s="23">
        <f>+'4.Team'!I43</f>
        <v>0</v>
      </c>
      <c r="BB5" s="25">
        <f>+'4.Team'!BF43</f>
        <v>0</v>
      </c>
      <c r="BC5" s="25">
        <f>+'4.Team'!BG43</f>
        <v>0</v>
      </c>
      <c r="BD5" s="25">
        <f>+'4.Team'!BH43</f>
        <v>0</v>
      </c>
      <c r="BE5" s="25">
        <f>+'4.Team'!BI43</f>
        <v>0</v>
      </c>
      <c r="BF5" s="25">
        <f>+'4.Team'!BJ43</f>
        <v>0</v>
      </c>
      <c r="BG5" s="25">
        <f>+'4.Team'!BK43</f>
        <v>0</v>
      </c>
      <c r="BH5" s="25">
        <f>+'4.Team'!BL43</f>
        <v>0</v>
      </c>
      <c r="BI5" s="25">
        <f>+'4.Team'!BM43</f>
        <v>0</v>
      </c>
      <c r="BJ5" s="25">
        <f>+'4.Team'!BN43</f>
        <v>0</v>
      </c>
      <c r="BK5" s="25">
        <f>+'4.Team'!BO43</f>
        <v>0</v>
      </c>
      <c r="BL5" s="25">
        <f>+'4.Team'!BP43</f>
        <v>0</v>
      </c>
      <c r="BM5" s="25">
        <f>+'4.Team'!BQ43</f>
        <v>0</v>
      </c>
      <c r="BN5" s="25">
        <f>+'4.Team'!BR43</f>
        <v>0</v>
      </c>
      <c r="BO5" s="25">
        <f>+'4.Team'!BS43</f>
        <v>0</v>
      </c>
      <c r="BP5" s="25">
        <f>+'4.Team'!BT43</f>
        <v>0</v>
      </c>
      <c r="BQ5" s="25">
        <f>+'4.Team'!BU43</f>
        <v>0</v>
      </c>
      <c r="BR5" s="25">
        <f>+'4.Team'!BV43</f>
        <v>0</v>
      </c>
      <c r="BS5" s="25">
        <f>+'4.Team'!BW43</f>
        <v>0</v>
      </c>
      <c r="BT5" s="25">
        <f>+'4.Team'!BX43</f>
        <v>0</v>
      </c>
      <c r="BU5" s="25">
        <f>+'4.Team'!BY43</f>
        <v>0</v>
      </c>
    </row>
    <row r="6" spans="1:77">
      <c r="A6">
        <f>+A5</f>
        <v>0</v>
      </c>
      <c r="B6" s="3" t="s">
        <v>13</v>
      </c>
      <c r="C6" t="s">
        <v>81</v>
      </c>
      <c r="D6" s="22" t="e">
        <f ca="1">VLOOKUP($A6,'4.2'!$A$4:$F$7,D$2,FALSE)*D5</f>
        <v>#N/A</v>
      </c>
      <c r="E6" s="22" t="e">
        <f ca="1">VLOOKUP($A6,'4.2'!$A$4:$F$7,E$2,FALSE)*E5</f>
        <v>#N/A</v>
      </c>
      <c r="F6" s="22" t="e">
        <f ca="1">VLOOKUP($A6,'4.2'!$A$4:$F$7,F$2,FALSE)*F5</f>
        <v>#N/A</v>
      </c>
      <c r="G6" s="22" t="e">
        <f ca="1">VLOOKUP($A6,'4.2'!$A$4:$F$7,G$2,FALSE)*G5</f>
        <v>#N/A</v>
      </c>
      <c r="H6" s="22" t="e">
        <f ca="1">VLOOKUP($A6,'4.2'!$A$4:$F$7,H$2,FALSE)*H5</f>
        <v>#N/A</v>
      </c>
      <c r="I6" s="22" t="e">
        <f ca="1">VLOOKUP($A6,'4.2'!$A$4:$F$7,I$2,FALSE)*I5</f>
        <v>#N/A</v>
      </c>
      <c r="J6" s="22" t="e">
        <f ca="1">VLOOKUP($A6,'4.2'!$A$4:$F$7,J$2,FALSE)*J5</f>
        <v>#N/A</v>
      </c>
      <c r="K6" s="22" t="e">
        <f ca="1">VLOOKUP($A6,'4.2'!$A$4:$F$7,K$2,FALSE)*K5</f>
        <v>#N/A</v>
      </c>
      <c r="L6" s="22" t="e">
        <f ca="1">VLOOKUP($A6,'4.2'!$A$4:$F$7,L$2,FALSE)*L5</f>
        <v>#N/A</v>
      </c>
      <c r="M6" s="22" t="e">
        <f ca="1">VLOOKUP($A6,'4.2'!$A$4:$F$7,M$2,FALSE)*M5</f>
        <v>#N/A</v>
      </c>
      <c r="N6" s="22" t="e">
        <f ca="1">VLOOKUP($A6,'4.2'!$A$4:$F$7,N$2,FALSE)*N5</f>
        <v>#N/A</v>
      </c>
      <c r="O6" s="22" t="e">
        <f ca="1">VLOOKUP($A6,'4.2'!$A$4:$F$7,O$2,FALSE)*O5</f>
        <v>#N/A</v>
      </c>
      <c r="P6" s="22" t="e">
        <f ca="1">VLOOKUP($A6,'4.2'!$A$4:$F$7,P$2,FALSE)*P5</f>
        <v>#N/A</v>
      </c>
      <c r="Q6" s="22" t="e">
        <f ca="1">VLOOKUP($A6,'4.2'!$A$4:$F$7,Q$2,FALSE)*Q5</f>
        <v>#N/A</v>
      </c>
      <c r="R6" s="22" t="e">
        <f ca="1">VLOOKUP($A6,'4.2'!$A$4:$F$7,R$2,FALSE)*R5</f>
        <v>#N/A</v>
      </c>
      <c r="S6" s="22" t="e">
        <f ca="1">VLOOKUP($A6,'4.2'!$A$4:$F$7,S$2,FALSE)*S5</f>
        <v>#N/A</v>
      </c>
      <c r="T6" s="22" t="e">
        <f ca="1">VLOOKUP($A6,'4.2'!$A$4:$F$7,T$2,FALSE)*T5</f>
        <v>#N/A</v>
      </c>
      <c r="U6" s="22" t="e">
        <f ca="1">VLOOKUP($A6,'4.2'!$A$4:$F$7,U$2,FALSE)*U5</f>
        <v>#N/A</v>
      </c>
      <c r="V6" s="22" t="e">
        <f ca="1">VLOOKUP($A6,'4.2'!$A$4:$F$7,V$2,FALSE)*V5</f>
        <v>#N/A</v>
      </c>
      <c r="W6" s="22" t="e">
        <f ca="1">VLOOKUP($A6,'4.2'!$A$4:$F$7,W$2,FALSE)*W5</f>
        <v>#N/A</v>
      </c>
      <c r="X6" s="22" t="e">
        <f ca="1">VLOOKUP($A6,'4.2'!$A$4:$F$7,X$2,FALSE)*X5</f>
        <v>#N/A</v>
      </c>
      <c r="Y6" s="22" t="e">
        <f ca="1">VLOOKUP($A6,'4.2'!$A$4:$F$7,Y$2,FALSE)*Y5</f>
        <v>#N/A</v>
      </c>
      <c r="Z6" s="22" t="e">
        <f ca="1">VLOOKUP($A6,'4.2'!$A$4:$F$7,Z$2,FALSE)*Z5</f>
        <v>#N/A</v>
      </c>
      <c r="AA6" s="22" t="e">
        <f ca="1">VLOOKUP($A6,'4.2'!$A$4:$F$7,AA$2,FALSE)*AA5</f>
        <v>#N/A</v>
      </c>
      <c r="AB6" s="22" t="e">
        <f ca="1">VLOOKUP($A6,'4.2'!$A$4:$F$7,AB$2,FALSE)*AB5</f>
        <v>#N/A</v>
      </c>
      <c r="AC6" s="22" t="e">
        <f ca="1">VLOOKUP($A6,'4.2'!$A$4:$F$7,AC$2,FALSE)*AC5</f>
        <v>#N/A</v>
      </c>
      <c r="AD6" s="22" t="e">
        <f ca="1">VLOOKUP($A6,'4.2'!$A$4:$F$7,AD$2,FALSE)*AD5</f>
        <v>#N/A</v>
      </c>
      <c r="AE6" s="22" t="e">
        <f ca="1">VLOOKUP($A6,'4.2'!$A$4:$F$7,AE$2,FALSE)*AE5</f>
        <v>#N/A</v>
      </c>
      <c r="AF6" s="22" t="e">
        <f ca="1">VLOOKUP($A6,'4.2'!$A$4:$F$7,AF$2,FALSE)*AF5</f>
        <v>#N/A</v>
      </c>
      <c r="AG6" s="22" t="e">
        <f ca="1">VLOOKUP($A6,'4.2'!$A$4:$F$7,AG$2,FALSE)*AG5</f>
        <v>#N/A</v>
      </c>
      <c r="AH6" s="22" t="e">
        <f ca="1">VLOOKUP($A6,'4.2'!$A$4:$F$7,AH$2,FALSE)*AH5</f>
        <v>#N/A</v>
      </c>
      <c r="AI6" s="22" t="e">
        <f ca="1">VLOOKUP($A6,'4.2'!$A$4:$F$7,AI$2,FALSE)*AI5</f>
        <v>#N/A</v>
      </c>
      <c r="AJ6" s="22" t="e">
        <f ca="1">VLOOKUP($A6,'4.2'!$A$4:$F$7,AJ$2,FALSE)*AJ5</f>
        <v>#N/A</v>
      </c>
      <c r="AK6" s="22" t="e">
        <f ca="1">VLOOKUP($A6,'4.2'!$A$4:$F$7,AK$2,FALSE)*AK5</f>
        <v>#N/A</v>
      </c>
      <c r="AL6" s="22" t="e">
        <f ca="1">VLOOKUP($A6,'4.2'!$A$4:$F$7,AL$2,FALSE)*AL5</f>
        <v>#N/A</v>
      </c>
      <c r="AM6" s="22" t="e">
        <f ca="1">VLOOKUP($A6,'4.2'!$A$4:$F$7,AM$2,FALSE)*AM5</f>
        <v>#N/A</v>
      </c>
      <c r="AN6" s="22" t="e">
        <f ca="1">VLOOKUP($A6,'4.2'!$A$4:$F$7,AN$2,FALSE)*AN5</f>
        <v>#N/A</v>
      </c>
      <c r="AO6" s="22" t="e">
        <f ca="1">VLOOKUP($A6,'4.2'!$A$4:$F$7,AO$2,FALSE)*AO5</f>
        <v>#N/A</v>
      </c>
      <c r="AP6" s="22" t="e">
        <f ca="1">VLOOKUP($A6,'4.2'!$A$4:$F$7,AP$2,FALSE)*AP5</f>
        <v>#N/A</v>
      </c>
      <c r="AQ6" s="22" t="e">
        <f ca="1">VLOOKUP($A6,'4.2'!$A$4:$F$7,AQ$2,FALSE)*AQ5</f>
        <v>#N/A</v>
      </c>
      <c r="AR6" s="22" t="e">
        <f ca="1">VLOOKUP($A6,'4.2'!$A$4:$F$7,AR$2,FALSE)*AR5</f>
        <v>#N/A</v>
      </c>
      <c r="AS6" s="22" t="e">
        <f ca="1">VLOOKUP($A6,'4.2'!$A$4:$F$7,AS$2,FALSE)*AS5</f>
        <v>#N/A</v>
      </c>
      <c r="AT6" s="22" t="e">
        <f ca="1">VLOOKUP($A6,'4.2'!$A$4:$F$7,AT$2,FALSE)*AT5</f>
        <v>#N/A</v>
      </c>
      <c r="AU6" s="22" t="e">
        <f ca="1">VLOOKUP($A6,'4.2'!$A$4:$F$7,AU$2,FALSE)*AU5</f>
        <v>#N/A</v>
      </c>
      <c r="AV6" s="22" t="e">
        <f ca="1">VLOOKUP($A6,'4.2'!$A$4:$F$7,AV$2,FALSE)*AV5</f>
        <v>#N/A</v>
      </c>
      <c r="AW6" s="22" t="e">
        <f ca="1">VLOOKUP($A6,'4.2'!$A$4:$F$7,AW$2,FALSE)*AW5</f>
        <v>#N/A</v>
      </c>
      <c r="AX6" s="22" t="e">
        <f ca="1">VLOOKUP($A6,'4.2'!$A$4:$F$7,AX$2,FALSE)*AX5</f>
        <v>#N/A</v>
      </c>
      <c r="AY6" s="22" t="e">
        <f ca="1">VLOOKUP($A6,'4.2'!$A$4:$F$7,AY$2,FALSE)*AY5</f>
        <v>#N/A</v>
      </c>
      <c r="AZ6" s="446" t="e">
        <f ca="1">SUM(D6:AY6)</f>
        <v>#N/A</v>
      </c>
      <c r="BB6" s="21"/>
      <c r="BC6" s="21"/>
      <c r="BD6" s="21"/>
      <c r="BE6" s="21"/>
      <c r="BF6" s="21"/>
      <c r="BG6" s="21"/>
      <c r="BH6" s="21"/>
      <c r="BI6" s="21"/>
      <c r="BJ6" s="21"/>
      <c r="BK6" s="21"/>
      <c r="BL6" s="21"/>
      <c r="BM6" s="21"/>
      <c r="BN6" s="21"/>
      <c r="BO6" s="21"/>
      <c r="BP6" s="21"/>
      <c r="BQ6" s="21"/>
      <c r="BR6" s="21"/>
      <c r="BS6" s="21"/>
      <c r="BT6" s="21"/>
      <c r="BU6" s="21"/>
    </row>
    <row r="7" spans="1:77">
      <c r="A7">
        <f t="shared" ref="A7:A9" si="4">+A6</f>
        <v>0</v>
      </c>
      <c r="B7" s="3" t="s">
        <v>13</v>
      </c>
      <c r="C7" t="s">
        <v>79</v>
      </c>
      <c r="D7" s="22" t="e">
        <f ca="1">IF($AZ5&lt;6,0,VLOOKUP($C7,'4.2'!$A$4:$F$11,D$2,FALSE)*D5)</f>
        <v>#N/A</v>
      </c>
      <c r="E7" s="22" t="e">
        <f ca="1">IF($AZ5&lt;6,0,VLOOKUP($C7,'4.2'!$A$4:$F$11,E$2,FALSE)*E5)</f>
        <v>#N/A</v>
      </c>
      <c r="F7" s="22" t="e">
        <f ca="1">IF($AZ5&lt;6,0,VLOOKUP($C7,'4.2'!$A$4:$F$11,F$2,FALSE)*F5)</f>
        <v>#N/A</v>
      </c>
      <c r="G7" s="22" t="e">
        <f ca="1">IF($AZ5&lt;6,0,VLOOKUP($C7,'4.2'!$A$4:$F$11,G$2,FALSE)*G5)</f>
        <v>#N/A</v>
      </c>
      <c r="H7" s="22" t="e">
        <f ca="1">IF($AZ5&lt;6,0,VLOOKUP($C7,'4.2'!$A$4:$F$11,H$2,FALSE)*H5)</f>
        <v>#N/A</v>
      </c>
      <c r="I7" s="22" t="e">
        <f ca="1">IF($AZ5&lt;6,0,VLOOKUP($C7,'4.2'!$A$4:$F$11,I$2,FALSE)*I5)</f>
        <v>#N/A</v>
      </c>
      <c r="J7" s="22" t="e">
        <f ca="1">IF($AZ5&lt;6,0,VLOOKUP($C7,'4.2'!$A$4:$F$11,J$2,FALSE)*J5)</f>
        <v>#N/A</v>
      </c>
      <c r="K7" s="22" t="e">
        <f ca="1">IF($AZ5&lt;6,0,VLOOKUP($C7,'4.2'!$A$4:$F$11,K$2,FALSE)*K5)</f>
        <v>#N/A</v>
      </c>
      <c r="L7" s="22" t="e">
        <f ca="1">IF($AZ5&lt;6,0,VLOOKUP($C7,'4.2'!$A$4:$F$11,L$2,FALSE)*L5)</f>
        <v>#N/A</v>
      </c>
      <c r="M7" s="22" t="e">
        <f ca="1">IF($AZ5&lt;6,0,VLOOKUP($C7,'4.2'!$A$4:$F$11,M$2,FALSE)*M5)</f>
        <v>#N/A</v>
      </c>
      <c r="N7" s="22" t="e">
        <f ca="1">IF($AZ5&lt;6,0,VLOOKUP($C7,'4.2'!$A$4:$F$11,N$2,FALSE)*N5)</f>
        <v>#N/A</v>
      </c>
      <c r="O7" s="22" t="e">
        <f ca="1">IF($AZ5&lt;6,0,VLOOKUP($C7,'4.2'!$A$4:$F$11,O$2,FALSE)*O5)</f>
        <v>#N/A</v>
      </c>
      <c r="P7" s="22" t="e">
        <f ca="1">IF($AZ5&lt;6,0,VLOOKUP($C7,'4.2'!$A$4:$F$11,P$2,FALSE)*P5)</f>
        <v>#N/A</v>
      </c>
      <c r="Q7" s="22" t="e">
        <f ca="1">IF($AZ5&lt;6,0,VLOOKUP($C7,'4.2'!$A$4:$F$11,Q$2,FALSE)*Q5)</f>
        <v>#N/A</v>
      </c>
      <c r="R7" s="22" t="e">
        <f ca="1">IF($AZ5&lt;6,0,VLOOKUP($C7,'4.2'!$A$4:$F$11,R$2,FALSE)*R5)</f>
        <v>#N/A</v>
      </c>
      <c r="S7" s="22" t="e">
        <f ca="1">IF($AZ5&lt;6,0,VLOOKUP($C7,'4.2'!$A$4:$F$11,S$2,FALSE)*S5)</f>
        <v>#N/A</v>
      </c>
      <c r="T7" s="22" t="e">
        <f ca="1">IF($AZ5&lt;6,0,VLOOKUP($C7,'4.2'!$A$4:$F$11,T$2,FALSE)*T5)</f>
        <v>#N/A</v>
      </c>
      <c r="U7" s="22" t="e">
        <f ca="1">IF($AZ5&lt;6,0,VLOOKUP($C7,'4.2'!$A$4:$F$11,U$2,FALSE)*U5)</f>
        <v>#N/A</v>
      </c>
      <c r="V7" s="22" t="e">
        <f ca="1">IF($AZ5&lt;6,0,VLOOKUP($C7,'4.2'!$A$4:$F$11,V$2,FALSE)*V5)</f>
        <v>#N/A</v>
      </c>
      <c r="W7" s="22" t="e">
        <f ca="1">IF($AZ5&lt;6,0,VLOOKUP($C7,'4.2'!$A$4:$F$11,W$2,FALSE)*W5)</f>
        <v>#N/A</v>
      </c>
      <c r="X7" s="22" t="e">
        <f ca="1">IF($AZ5&lt;6,0,VLOOKUP($C7,'4.2'!$A$4:$F$11,X$2,FALSE)*X5)</f>
        <v>#N/A</v>
      </c>
      <c r="Y7" s="22" t="e">
        <f ca="1">IF($AZ5&lt;6,0,VLOOKUP($C7,'4.2'!$A$4:$F$11,Y$2,FALSE)*Y5)</f>
        <v>#N/A</v>
      </c>
      <c r="Z7" s="22" t="e">
        <f ca="1">IF($AZ5&lt;6,0,VLOOKUP($C7,'4.2'!$A$4:$F$11,Z$2,FALSE)*Z5)</f>
        <v>#N/A</v>
      </c>
      <c r="AA7" s="22" t="e">
        <f ca="1">IF($AZ5&lt;6,0,VLOOKUP($C7,'4.2'!$A$4:$F$11,AA$2,FALSE)*AA5)</f>
        <v>#N/A</v>
      </c>
      <c r="AB7" s="22" t="e">
        <f ca="1">IF($AZ5&lt;6,0,VLOOKUP($C7,'4.2'!$A$4:$F$11,AB$2,FALSE)*AB5)</f>
        <v>#N/A</v>
      </c>
      <c r="AC7" s="22" t="e">
        <f ca="1">IF($AZ5&lt;6,0,VLOOKUP($C7,'4.2'!$A$4:$F$11,AC$2,FALSE)*AC5)</f>
        <v>#N/A</v>
      </c>
      <c r="AD7" s="22" t="e">
        <f ca="1">IF($AZ5&lt;6,0,VLOOKUP($C7,'4.2'!$A$4:$F$11,AD$2,FALSE)*AD5)</f>
        <v>#N/A</v>
      </c>
      <c r="AE7" s="22" t="e">
        <f ca="1">IF($AZ5&lt;6,0,VLOOKUP($C7,'4.2'!$A$4:$F$11,AE$2,FALSE)*AE5)</f>
        <v>#N/A</v>
      </c>
      <c r="AF7" s="22" t="e">
        <f ca="1">IF($AZ5&lt;6,0,VLOOKUP($C7,'4.2'!$A$4:$F$11,AF$2,FALSE)*AF5)</f>
        <v>#N/A</v>
      </c>
      <c r="AG7" s="22" t="e">
        <f ca="1">IF($AZ5&lt;6,0,VLOOKUP($C7,'4.2'!$A$4:$F$11,AG$2,FALSE)*AG5)</f>
        <v>#N/A</v>
      </c>
      <c r="AH7" s="22" t="e">
        <f ca="1">IF($AZ5&lt;6,0,VLOOKUP($C7,'4.2'!$A$4:$F$11,AH$2,FALSE)*AH5)</f>
        <v>#N/A</v>
      </c>
      <c r="AI7" s="22" t="e">
        <f ca="1">IF($AZ5&lt;6,0,VLOOKUP($C7,'4.2'!$A$4:$F$11,AI$2,FALSE)*AI5)</f>
        <v>#N/A</v>
      </c>
      <c r="AJ7" s="22" t="e">
        <f ca="1">IF($AZ5&lt;6,0,VLOOKUP($C7,'4.2'!$A$4:$F$11,AJ$2,FALSE)*AJ5)</f>
        <v>#N/A</v>
      </c>
      <c r="AK7" s="22" t="e">
        <f ca="1">IF($AZ5&lt;6,0,VLOOKUP($C7,'4.2'!$A$4:$F$11,AK$2,FALSE)*AK5)</f>
        <v>#N/A</v>
      </c>
      <c r="AL7" s="22" t="e">
        <f ca="1">IF($AZ5&lt;6,0,VLOOKUP($C7,'4.2'!$A$4:$F$11,AL$2,FALSE)*AL5)</f>
        <v>#N/A</v>
      </c>
      <c r="AM7" s="22" t="e">
        <f ca="1">IF($AZ5&lt;6,0,VLOOKUP($C7,'4.2'!$A$4:$F$11,AM$2,FALSE)*AM5)</f>
        <v>#N/A</v>
      </c>
      <c r="AN7" s="22" t="e">
        <f ca="1">IF($AZ5&lt;6,0,VLOOKUP($C7,'4.2'!$A$4:$F$11,AN$2,FALSE)*AN5)</f>
        <v>#N/A</v>
      </c>
      <c r="AO7" s="22" t="e">
        <f ca="1">IF($AZ5&lt;6,0,VLOOKUP($C7,'4.2'!$A$4:$F$11,AO$2,FALSE)*AO5)</f>
        <v>#N/A</v>
      </c>
      <c r="AP7" s="22" t="e">
        <f ca="1">IF($AZ5&lt;6,0,VLOOKUP($C7,'4.2'!$A$4:$F$11,AP$2,FALSE)*AP5)</f>
        <v>#N/A</v>
      </c>
      <c r="AQ7" s="22" t="e">
        <f ca="1">IF($AZ5&lt;6,0,VLOOKUP($C7,'4.2'!$A$4:$F$11,AQ$2,FALSE)*AQ5)</f>
        <v>#N/A</v>
      </c>
      <c r="AR7" s="22" t="e">
        <f ca="1">IF($AZ5&lt;6,0,VLOOKUP($C7,'4.2'!$A$4:$F$11,AR$2,FALSE)*AR5)</f>
        <v>#N/A</v>
      </c>
      <c r="AS7" s="22" t="e">
        <f ca="1">IF($AZ5&lt;6,0,VLOOKUP($C7,'4.2'!$A$4:$F$11,AS$2,FALSE)*AS5)</f>
        <v>#N/A</v>
      </c>
      <c r="AT7" s="22" t="e">
        <f ca="1">IF($AZ5&lt;6,0,VLOOKUP($C7,'4.2'!$A$4:$F$11,AT$2,FALSE)*AT5)</f>
        <v>#N/A</v>
      </c>
      <c r="AU7" s="22" t="e">
        <f ca="1">IF($AZ5&lt;6,0,VLOOKUP($C7,'4.2'!$A$4:$F$11,AU$2,FALSE)*AU5)</f>
        <v>#N/A</v>
      </c>
      <c r="AV7" s="22" t="e">
        <f ca="1">IF($AZ5&lt;6,0,VLOOKUP($C7,'4.2'!$A$4:$F$11,AV$2,FALSE)*AV5)</f>
        <v>#N/A</v>
      </c>
      <c r="AW7" s="22" t="e">
        <f ca="1">IF($AZ5&lt;6,0,VLOOKUP($C7,'4.2'!$A$4:$F$11,AW$2,FALSE)*AW5)</f>
        <v>#N/A</v>
      </c>
      <c r="AX7" s="22" t="e">
        <f ca="1">IF($AZ5&lt;6,0,VLOOKUP($C7,'4.2'!$A$4:$F$11,AX$2,FALSE)*AX5)</f>
        <v>#N/A</v>
      </c>
      <c r="AY7" s="22" t="e">
        <f ca="1">IF($AZ5&lt;6,0,VLOOKUP($C7,'4.2'!$A$4:$F$11,AY$2,FALSE)*AY5)</f>
        <v>#N/A</v>
      </c>
      <c r="AZ7" s="446" t="e">
        <f t="shared" ref="AZ7:AZ8" ca="1" si="5">SUM(D7:AY7)</f>
        <v>#N/A</v>
      </c>
      <c r="BB7" s="21"/>
      <c r="BC7" s="21"/>
      <c r="BD7" s="21"/>
      <c r="BE7" s="21"/>
      <c r="BF7" s="21"/>
      <c r="BG7" s="21"/>
      <c r="BH7" s="21"/>
      <c r="BI7" s="21"/>
      <c r="BJ7" s="21"/>
      <c r="BK7" s="21"/>
      <c r="BL7" s="21"/>
      <c r="BM7" s="21"/>
      <c r="BN7" s="21"/>
      <c r="BO7" s="21"/>
      <c r="BP7" s="21"/>
      <c r="BQ7" s="21"/>
      <c r="BR7" s="21"/>
      <c r="BS7" s="21"/>
      <c r="BT7" s="21"/>
      <c r="BU7" s="21"/>
    </row>
    <row r="8" spans="1:77">
      <c r="A8">
        <f t="shared" si="4"/>
        <v>0</v>
      </c>
      <c r="B8" s="3" t="s">
        <v>13</v>
      </c>
      <c r="C8" t="s">
        <v>82</v>
      </c>
      <c r="D8" s="22">
        <f ca="1">'4.2'!$B$11/12*D5</f>
        <v>0</v>
      </c>
      <c r="E8" s="22">
        <f ca="1">'4.2'!$B$11/12*E5</f>
        <v>0</v>
      </c>
      <c r="F8" s="22" t="e">
        <f ca="1">'4.2'!$B$11/12*F5</f>
        <v>#N/A</v>
      </c>
      <c r="G8" s="22" t="e">
        <f ca="1">'4.2'!$B$11/12*G5</f>
        <v>#N/A</v>
      </c>
      <c r="H8" s="22" t="e">
        <f ca="1">'4.2'!$B$11/12*H5</f>
        <v>#N/A</v>
      </c>
      <c r="I8" s="22" t="e">
        <f ca="1">'4.2'!$B$11/12*I5</f>
        <v>#N/A</v>
      </c>
      <c r="J8" s="22" t="e">
        <f ca="1">'4.2'!$B$11/12*J5</f>
        <v>#N/A</v>
      </c>
      <c r="K8" s="22" t="e">
        <f ca="1">'4.2'!$B$11/12*K5</f>
        <v>#N/A</v>
      </c>
      <c r="L8" s="22" t="e">
        <f ca="1">'4.2'!$B$11/12*L5</f>
        <v>#N/A</v>
      </c>
      <c r="M8" s="22" t="e">
        <f ca="1">'4.2'!$B$11/12*M5</f>
        <v>#N/A</v>
      </c>
      <c r="N8" s="22" t="e">
        <f ca="1">'4.2'!$B$11/12*N5</f>
        <v>#N/A</v>
      </c>
      <c r="O8" s="22" t="e">
        <f ca="1">'4.2'!$B$11/12*O5</f>
        <v>#N/A</v>
      </c>
      <c r="P8" s="22" t="e">
        <f ca="1">'4.2'!$B$11/12*P5</f>
        <v>#N/A</v>
      </c>
      <c r="Q8" s="22" t="e">
        <f ca="1">'4.2'!$B$11/12*Q5</f>
        <v>#N/A</v>
      </c>
      <c r="R8" s="22" t="e">
        <f ca="1">'4.2'!$B$11/12*R5</f>
        <v>#N/A</v>
      </c>
      <c r="S8" s="22" t="e">
        <f ca="1">'4.2'!$B$11/12*S5</f>
        <v>#N/A</v>
      </c>
      <c r="T8" s="22" t="e">
        <f ca="1">'4.2'!$B$11/12*T5</f>
        <v>#N/A</v>
      </c>
      <c r="U8" s="22" t="e">
        <f ca="1">'4.2'!$B$11/12*U5</f>
        <v>#N/A</v>
      </c>
      <c r="V8" s="22" t="e">
        <f ca="1">'4.2'!$B$11/12*V5</f>
        <v>#N/A</v>
      </c>
      <c r="W8" s="22" t="e">
        <f ca="1">'4.2'!$B$11/12*W5</f>
        <v>#N/A</v>
      </c>
      <c r="X8" s="22" t="e">
        <f ca="1">'4.2'!$B$11/12*X5</f>
        <v>#N/A</v>
      </c>
      <c r="Y8" s="22" t="e">
        <f ca="1">'4.2'!$B$11/12*Y5</f>
        <v>#N/A</v>
      </c>
      <c r="Z8" s="22" t="e">
        <f ca="1">'4.2'!$B$11/12*Z5</f>
        <v>#N/A</v>
      </c>
      <c r="AA8" s="22" t="e">
        <f ca="1">'4.2'!$B$11/12*AA5</f>
        <v>#N/A</v>
      </c>
      <c r="AB8" s="22" t="e">
        <f ca="1">'4.2'!$B$11/12*AB5</f>
        <v>#N/A</v>
      </c>
      <c r="AC8" s="22" t="e">
        <f ca="1">'4.2'!$B$11/12*AC5</f>
        <v>#N/A</v>
      </c>
      <c r="AD8" s="22" t="e">
        <f ca="1">'4.2'!$B$11/12*AD5</f>
        <v>#N/A</v>
      </c>
      <c r="AE8" s="22" t="e">
        <f ca="1">'4.2'!$B$11/12*AE5</f>
        <v>#N/A</v>
      </c>
      <c r="AF8" s="22" t="e">
        <f ca="1">'4.2'!$B$11/12*AF5</f>
        <v>#N/A</v>
      </c>
      <c r="AG8" s="22" t="e">
        <f ca="1">'4.2'!$B$11/12*AG5</f>
        <v>#N/A</v>
      </c>
      <c r="AH8" s="22" t="e">
        <f ca="1">'4.2'!$B$11/12*AH5</f>
        <v>#N/A</v>
      </c>
      <c r="AI8" s="22" t="e">
        <f ca="1">'4.2'!$B$11/12*AI5</f>
        <v>#N/A</v>
      </c>
      <c r="AJ8" s="22" t="e">
        <f ca="1">'4.2'!$B$11/12*AJ5</f>
        <v>#N/A</v>
      </c>
      <c r="AK8" s="22" t="e">
        <f ca="1">'4.2'!$B$11/12*AK5</f>
        <v>#N/A</v>
      </c>
      <c r="AL8" s="22" t="e">
        <f ca="1">'4.2'!$B$11/12*AL5</f>
        <v>#N/A</v>
      </c>
      <c r="AM8" s="22" t="e">
        <f ca="1">'4.2'!$B$11/12*AM5</f>
        <v>#N/A</v>
      </c>
      <c r="AN8" s="22" t="e">
        <f ca="1">'4.2'!$B$11/12*AN5</f>
        <v>#N/A</v>
      </c>
      <c r="AO8" s="22" t="e">
        <f ca="1">'4.2'!$B$11/12*AO5</f>
        <v>#N/A</v>
      </c>
      <c r="AP8" s="22" t="e">
        <f ca="1">'4.2'!$B$11/12*AP5</f>
        <v>#N/A</v>
      </c>
      <c r="AQ8" s="22" t="e">
        <f ca="1">'4.2'!$B$11/12*AQ5</f>
        <v>#N/A</v>
      </c>
      <c r="AR8" s="22" t="e">
        <f ca="1">'4.2'!$B$11/12*AR5</f>
        <v>#N/A</v>
      </c>
      <c r="AS8" s="22" t="e">
        <f ca="1">'4.2'!$B$11/12*AS5</f>
        <v>#N/A</v>
      </c>
      <c r="AT8" s="22" t="e">
        <f ca="1">'4.2'!$B$11/12*AT5</f>
        <v>#N/A</v>
      </c>
      <c r="AU8" s="22" t="e">
        <f ca="1">'4.2'!$B$11/12*AU5</f>
        <v>#N/A</v>
      </c>
      <c r="AV8" s="22" t="e">
        <f ca="1">'4.2'!$B$11/12*AV5</f>
        <v>#N/A</v>
      </c>
      <c r="AW8" s="22" t="e">
        <f ca="1">'4.2'!$B$11/12*AW5</f>
        <v>#N/A</v>
      </c>
      <c r="AX8" s="22" t="e">
        <f ca="1">'4.2'!$B$11/12*AX5</f>
        <v>#N/A</v>
      </c>
      <c r="AY8" s="22" t="e">
        <f ca="1">'4.2'!$B$11/12*AY5</f>
        <v>#N/A</v>
      </c>
      <c r="AZ8" s="446" t="e">
        <f t="shared" ca="1" si="5"/>
        <v>#N/A</v>
      </c>
      <c r="BB8" s="21"/>
      <c r="BC8" s="21"/>
      <c r="BD8" s="21"/>
      <c r="BE8" s="21"/>
      <c r="BF8" s="21"/>
      <c r="BG8" s="21"/>
      <c r="BH8" s="21"/>
      <c r="BI8" s="21"/>
      <c r="BJ8" s="21"/>
      <c r="BK8" s="21"/>
      <c r="BL8" s="21"/>
      <c r="BM8" s="21"/>
      <c r="BN8" s="21"/>
      <c r="BO8" s="21"/>
      <c r="BP8" s="21"/>
      <c r="BQ8" s="21"/>
      <c r="BR8" s="21"/>
      <c r="BS8" s="21"/>
      <c r="BT8" s="21"/>
      <c r="BU8" s="21"/>
    </row>
    <row r="9" spans="1:77">
      <c r="A9">
        <f t="shared" si="4"/>
        <v>0</v>
      </c>
      <c r="B9" s="3" t="s">
        <v>13</v>
      </c>
      <c r="C9" t="s">
        <v>83</v>
      </c>
      <c r="D9" s="22">
        <f ca="1">IFERROR(SUM(D5:D8),0)</f>
        <v>0</v>
      </c>
      <c r="E9" s="22">
        <f t="shared" ref="E9:AM9" ca="1" si="6">IFERROR(SUM(E5:E8),0)</f>
        <v>0</v>
      </c>
      <c r="F9" s="22">
        <f t="shared" ca="1" si="6"/>
        <v>0</v>
      </c>
      <c r="G9" s="22">
        <f t="shared" ca="1" si="6"/>
        <v>0</v>
      </c>
      <c r="H9" s="22">
        <f t="shared" ca="1" si="6"/>
        <v>0</v>
      </c>
      <c r="I9" s="22">
        <f t="shared" ca="1" si="6"/>
        <v>0</v>
      </c>
      <c r="J9" s="22">
        <f t="shared" ca="1" si="6"/>
        <v>0</v>
      </c>
      <c r="K9" s="22">
        <f t="shared" ca="1" si="6"/>
        <v>0</v>
      </c>
      <c r="L9" s="22">
        <f t="shared" ca="1" si="6"/>
        <v>0</v>
      </c>
      <c r="M9" s="22">
        <f t="shared" ca="1" si="6"/>
        <v>0</v>
      </c>
      <c r="N9" s="22">
        <f t="shared" ca="1" si="6"/>
        <v>0</v>
      </c>
      <c r="O9" s="22">
        <f t="shared" ca="1" si="6"/>
        <v>0</v>
      </c>
      <c r="P9" s="22">
        <f t="shared" ca="1" si="6"/>
        <v>0</v>
      </c>
      <c r="Q9" s="22">
        <f t="shared" ca="1" si="6"/>
        <v>0</v>
      </c>
      <c r="R9" s="22">
        <f t="shared" ca="1" si="6"/>
        <v>0</v>
      </c>
      <c r="S9" s="22">
        <f t="shared" ca="1" si="6"/>
        <v>0</v>
      </c>
      <c r="T9" s="22">
        <f t="shared" ca="1" si="6"/>
        <v>0</v>
      </c>
      <c r="U9" s="22">
        <f t="shared" ca="1" si="6"/>
        <v>0</v>
      </c>
      <c r="V9" s="22">
        <f t="shared" ca="1" si="6"/>
        <v>0</v>
      </c>
      <c r="W9" s="22">
        <f t="shared" ca="1" si="6"/>
        <v>0</v>
      </c>
      <c r="X9" s="22">
        <f t="shared" ca="1" si="6"/>
        <v>0</v>
      </c>
      <c r="Y9" s="22">
        <f t="shared" ca="1" si="6"/>
        <v>0</v>
      </c>
      <c r="Z9" s="22">
        <f t="shared" ca="1" si="6"/>
        <v>0</v>
      </c>
      <c r="AA9" s="22">
        <f t="shared" ca="1" si="6"/>
        <v>0</v>
      </c>
      <c r="AB9" s="22">
        <f t="shared" ca="1" si="6"/>
        <v>0</v>
      </c>
      <c r="AC9" s="22">
        <f t="shared" ca="1" si="6"/>
        <v>0</v>
      </c>
      <c r="AD9" s="22">
        <f t="shared" ca="1" si="6"/>
        <v>0</v>
      </c>
      <c r="AE9" s="22">
        <f t="shared" ca="1" si="6"/>
        <v>0</v>
      </c>
      <c r="AF9" s="22">
        <f t="shared" ca="1" si="6"/>
        <v>0</v>
      </c>
      <c r="AG9" s="22">
        <f t="shared" ca="1" si="6"/>
        <v>0</v>
      </c>
      <c r="AH9" s="22">
        <f t="shared" ca="1" si="6"/>
        <v>0</v>
      </c>
      <c r="AI9" s="22">
        <f t="shared" ca="1" si="6"/>
        <v>0</v>
      </c>
      <c r="AJ9" s="22">
        <f t="shared" ca="1" si="6"/>
        <v>0</v>
      </c>
      <c r="AK9" s="22">
        <f t="shared" ca="1" si="6"/>
        <v>0</v>
      </c>
      <c r="AL9" s="22">
        <f t="shared" ca="1" si="6"/>
        <v>0</v>
      </c>
      <c r="AM9" s="22">
        <f t="shared" ca="1" si="6"/>
        <v>0</v>
      </c>
      <c r="AN9" s="22">
        <f t="shared" ref="AN9:AY9" ca="1" si="7">IFERROR(SUM(AN5:AN8),0)</f>
        <v>0</v>
      </c>
      <c r="AO9" s="22">
        <f t="shared" ca="1" si="7"/>
        <v>0</v>
      </c>
      <c r="AP9" s="22">
        <f t="shared" ca="1" si="7"/>
        <v>0</v>
      </c>
      <c r="AQ9" s="22">
        <f t="shared" ca="1" si="7"/>
        <v>0</v>
      </c>
      <c r="AR9" s="22">
        <f t="shared" ca="1" si="7"/>
        <v>0</v>
      </c>
      <c r="AS9" s="22">
        <f t="shared" ca="1" si="7"/>
        <v>0</v>
      </c>
      <c r="AT9" s="22">
        <f t="shared" ca="1" si="7"/>
        <v>0</v>
      </c>
      <c r="AU9" s="22">
        <f t="shared" ca="1" si="7"/>
        <v>0</v>
      </c>
      <c r="AV9" s="22">
        <f t="shared" ca="1" si="7"/>
        <v>0</v>
      </c>
      <c r="AW9" s="22">
        <f t="shared" ca="1" si="7"/>
        <v>0</v>
      </c>
      <c r="AX9" s="22">
        <f t="shared" ca="1" si="7"/>
        <v>0</v>
      </c>
      <c r="AY9" s="22">
        <f t="shared" ca="1" si="7"/>
        <v>0</v>
      </c>
      <c r="AZ9" s="446">
        <f ca="1">ROUNDUP(SUM(D9:AY9),0)</f>
        <v>0</v>
      </c>
      <c r="BB9" s="21">
        <f ca="1">IFERROR($AZ9/$BA5*BB5,0)</f>
        <v>0</v>
      </c>
      <c r="BC9" s="21">
        <f t="shared" ref="BC9:BU9" ca="1" si="8">IFERROR($AZ9/$BA5*BC5,0)</f>
        <v>0</v>
      </c>
      <c r="BD9" s="21">
        <f ca="1">IFERROR($AZ9/$BA5*BD5,0)</f>
        <v>0</v>
      </c>
      <c r="BE9" s="21">
        <f t="shared" ca="1" si="8"/>
        <v>0</v>
      </c>
      <c r="BF9" s="21">
        <f t="shared" ca="1" si="8"/>
        <v>0</v>
      </c>
      <c r="BG9" s="21">
        <f t="shared" ca="1" si="8"/>
        <v>0</v>
      </c>
      <c r="BH9" s="21">
        <f t="shared" ca="1" si="8"/>
        <v>0</v>
      </c>
      <c r="BI9" s="21">
        <f t="shared" ca="1" si="8"/>
        <v>0</v>
      </c>
      <c r="BJ9" s="21">
        <f t="shared" ca="1" si="8"/>
        <v>0</v>
      </c>
      <c r="BK9" s="21">
        <f t="shared" ca="1" si="8"/>
        <v>0</v>
      </c>
      <c r="BL9" s="21">
        <f t="shared" ca="1" si="8"/>
        <v>0</v>
      </c>
      <c r="BM9" s="21">
        <f t="shared" ca="1" si="8"/>
        <v>0</v>
      </c>
      <c r="BN9" s="21">
        <f t="shared" ca="1" si="8"/>
        <v>0</v>
      </c>
      <c r="BO9" s="21">
        <f t="shared" ca="1" si="8"/>
        <v>0</v>
      </c>
      <c r="BP9" s="21">
        <f t="shared" ca="1" si="8"/>
        <v>0</v>
      </c>
      <c r="BQ9" s="21">
        <f t="shared" ca="1" si="8"/>
        <v>0</v>
      </c>
      <c r="BR9" s="21">
        <f t="shared" ca="1" si="8"/>
        <v>0</v>
      </c>
      <c r="BS9" s="21">
        <f t="shared" ca="1" si="8"/>
        <v>0</v>
      </c>
      <c r="BT9" s="21">
        <f t="shared" ca="1" si="8"/>
        <v>0</v>
      </c>
      <c r="BU9" s="21">
        <f t="shared" ca="1" si="8"/>
        <v>0</v>
      </c>
      <c r="BV9" s="446">
        <f ca="1">SUM(D9:O9)</f>
        <v>0</v>
      </c>
      <c r="BW9" s="446">
        <f ca="1">SUM(P9:AA9)</f>
        <v>0</v>
      </c>
      <c r="BX9" s="446">
        <f ca="1">SUM(AB9:AM9)</f>
        <v>0</v>
      </c>
      <c r="BY9" s="446">
        <f ca="1">SUM(AN9:AY9)</f>
        <v>0</v>
      </c>
    </row>
    <row r="10" spans="1:77" s="23" customFormat="1">
      <c r="A10" s="23">
        <f>+'4.Team'!C44</f>
        <v>0</v>
      </c>
      <c r="B10" s="15" t="s">
        <v>14</v>
      </c>
      <c r="C10" s="23" t="s">
        <v>1</v>
      </c>
      <c r="D10" s="24">
        <f ca="1">+'4.Team'!J44</f>
        <v>0</v>
      </c>
      <c r="E10" s="24">
        <f ca="1">+'4.Team'!K44</f>
        <v>0</v>
      </c>
      <c r="F10" s="24" t="e">
        <f ca="1">+'4.Team'!L44</f>
        <v>#N/A</v>
      </c>
      <c r="G10" s="24" t="e">
        <f ca="1">+'4.Team'!M44</f>
        <v>#N/A</v>
      </c>
      <c r="H10" s="24" t="e">
        <f ca="1">+'4.Team'!N44</f>
        <v>#N/A</v>
      </c>
      <c r="I10" s="24" t="e">
        <f ca="1">+'4.Team'!O44</f>
        <v>#N/A</v>
      </c>
      <c r="J10" s="24" t="e">
        <f ca="1">+'4.Team'!P44</f>
        <v>#N/A</v>
      </c>
      <c r="K10" s="24" t="e">
        <f ca="1">+'4.Team'!Q44</f>
        <v>#N/A</v>
      </c>
      <c r="L10" s="24" t="e">
        <f ca="1">+'4.Team'!R44</f>
        <v>#N/A</v>
      </c>
      <c r="M10" s="24" t="e">
        <f ca="1">+'4.Team'!S44</f>
        <v>#N/A</v>
      </c>
      <c r="N10" s="24" t="e">
        <f ca="1">+'4.Team'!T44</f>
        <v>#N/A</v>
      </c>
      <c r="O10" s="24" t="e">
        <f ca="1">+'4.Team'!U44</f>
        <v>#N/A</v>
      </c>
      <c r="P10" s="24" t="e">
        <f ca="1">+'4.Team'!V44</f>
        <v>#N/A</v>
      </c>
      <c r="Q10" s="24" t="e">
        <f ca="1">+'4.Team'!W44</f>
        <v>#N/A</v>
      </c>
      <c r="R10" s="24" t="e">
        <f ca="1">+'4.Team'!X44</f>
        <v>#N/A</v>
      </c>
      <c r="S10" s="24" t="e">
        <f ca="1">+'4.Team'!Y44</f>
        <v>#N/A</v>
      </c>
      <c r="T10" s="24" t="e">
        <f ca="1">+'4.Team'!Z44</f>
        <v>#N/A</v>
      </c>
      <c r="U10" s="24" t="e">
        <f ca="1">+'4.Team'!AA44</f>
        <v>#N/A</v>
      </c>
      <c r="V10" s="24" t="e">
        <f ca="1">+'4.Team'!AB44</f>
        <v>#N/A</v>
      </c>
      <c r="W10" s="24" t="e">
        <f ca="1">+'4.Team'!AC44</f>
        <v>#N/A</v>
      </c>
      <c r="X10" s="24" t="e">
        <f ca="1">+'4.Team'!AD44</f>
        <v>#N/A</v>
      </c>
      <c r="Y10" s="24" t="e">
        <f ca="1">+'4.Team'!AE44</f>
        <v>#N/A</v>
      </c>
      <c r="Z10" s="24" t="e">
        <f ca="1">+'4.Team'!AF44</f>
        <v>#N/A</v>
      </c>
      <c r="AA10" s="24" t="e">
        <f ca="1">+'4.Team'!AG44</f>
        <v>#N/A</v>
      </c>
      <c r="AB10" s="24" t="e">
        <f ca="1">+'4.Team'!AH44</f>
        <v>#N/A</v>
      </c>
      <c r="AC10" s="24" t="e">
        <f ca="1">+'4.Team'!AI44</f>
        <v>#N/A</v>
      </c>
      <c r="AD10" s="24" t="e">
        <f ca="1">+'4.Team'!AJ44</f>
        <v>#N/A</v>
      </c>
      <c r="AE10" s="24" t="e">
        <f ca="1">+'4.Team'!AK44</f>
        <v>#N/A</v>
      </c>
      <c r="AF10" s="24" t="e">
        <f ca="1">+'4.Team'!AL44</f>
        <v>#N/A</v>
      </c>
      <c r="AG10" s="24" t="e">
        <f ca="1">+'4.Team'!AM44</f>
        <v>#N/A</v>
      </c>
      <c r="AH10" s="24" t="e">
        <f ca="1">+'4.Team'!AN44</f>
        <v>#N/A</v>
      </c>
      <c r="AI10" s="24" t="e">
        <f ca="1">+'4.Team'!AO44</f>
        <v>#N/A</v>
      </c>
      <c r="AJ10" s="24" t="e">
        <f ca="1">+'4.Team'!AP44</f>
        <v>#N/A</v>
      </c>
      <c r="AK10" s="24" t="e">
        <f ca="1">+'4.Team'!AQ44</f>
        <v>#N/A</v>
      </c>
      <c r="AL10" s="24" t="e">
        <f ca="1">+'4.Team'!AR44</f>
        <v>#N/A</v>
      </c>
      <c r="AM10" s="24" t="e">
        <f ca="1">+'4.Team'!AS44</f>
        <v>#N/A</v>
      </c>
      <c r="AN10" s="24" t="e">
        <f ca="1">+'4.Team'!AT44</f>
        <v>#N/A</v>
      </c>
      <c r="AO10" s="24" t="e">
        <f ca="1">+'4.Team'!AU44</f>
        <v>#N/A</v>
      </c>
      <c r="AP10" s="24" t="e">
        <f ca="1">+'4.Team'!AV44</f>
        <v>#N/A</v>
      </c>
      <c r="AQ10" s="24" t="e">
        <f ca="1">+'4.Team'!AW44</f>
        <v>#N/A</v>
      </c>
      <c r="AR10" s="24" t="e">
        <f ca="1">+'4.Team'!AX44</f>
        <v>#N/A</v>
      </c>
      <c r="AS10" s="24" t="e">
        <f ca="1">+'4.Team'!AY44</f>
        <v>#N/A</v>
      </c>
      <c r="AT10" s="24" t="e">
        <f ca="1">+'4.Team'!AZ44</f>
        <v>#N/A</v>
      </c>
      <c r="AU10" s="24" t="e">
        <f ca="1">+'4.Team'!BA44</f>
        <v>#N/A</v>
      </c>
      <c r="AV10" s="24" t="e">
        <f ca="1">+'4.Team'!BB44</f>
        <v>#N/A</v>
      </c>
      <c r="AW10" s="24" t="e">
        <f ca="1">+'4.Team'!BC44</f>
        <v>#N/A</v>
      </c>
      <c r="AX10" s="24" t="e">
        <f ca="1">+'4.Team'!BD44</f>
        <v>#N/A</v>
      </c>
      <c r="AY10" s="24" t="e">
        <f ca="1">+'4.Team'!BE44</f>
        <v>#N/A</v>
      </c>
      <c r="AZ10" s="23" t="e">
        <f ca="1">SUM(D10:AY10)</f>
        <v>#N/A</v>
      </c>
      <c r="BA10" s="23">
        <f>+'4.Team'!I44</f>
        <v>0</v>
      </c>
      <c r="BB10" s="25">
        <f>+'4.Team'!BF44</f>
        <v>0</v>
      </c>
      <c r="BC10" s="25">
        <f>+'4.Team'!BG44</f>
        <v>0</v>
      </c>
      <c r="BD10" s="25">
        <f>+'4.Team'!BH44</f>
        <v>0</v>
      </c>
      <c r="BE10" s="25">
        <f>+'4.Team'!BI44</f>
        <v>0</v>
      </c>
      <c r="BF10" s="25">
        <f>+'4.Team'!BJ44</f>
        <v>0</v>
      </c>
      <c r="BG10" s="25">
        <f>+'4.Team'!BK44</f>
        <v>0</v>
      </c>
      <c r="BH10" s="25">
        <f>+'4.Team'!BL44</f>
        <v>0</v>
      </c>
      <c r="BI10" s="25">
        <f>+'4.Team'!BM44</f>
        <v>0</v>
      </c>
      <c r="BJ10" s="25">
        <f>+'4.Team'!BN44</f>
        <v>0</v>
      </c>
      <c r="BK10" s="25">
        <f>+'4.Team'!BO44</f>
        <v>0</v>
      </c>
      <c r="BL10" s="25">
        <f>+'4.Team'!BP44</f>
        <v>0</v>
      </c>
      <c r="BM10" s="25">
        <f>+'4.Team'!BQ44</f>
        <v>0</v>
      </c>
      <c r="BN10" s="25">
        <f>+'4.Team'!BR44</f>
        <v>0</v>
      </c>
      <c r="BO10" s="25">
        <f>+'4.Team'!BS44</f>
        <v>0</v>
      </c>
      <c r="BP10" s="25">
        <f>+'4.Team'!BT44</f>
        <v>0</v>
      </c>
      <c r="BQ10" s="25">
        <f>+'4.Team'!BU44</f>
        <v>0</v>
      </c>
      <c r="BR10" s="25">
        <f>+'4.Team'!BV44</f>
        <v>0</v>
      </c>
      <c r="BS10" s="25">
        <f>+'4.Team'!BW44</f>
        <v>0</v>
      </c>
      <c r="BT10" s="25">
        <f>+'4.Team'!BX44</f>
        <v>0</v>
      </c>
      <c r="BU10" s="25">
        <f>+'4.Team'!BY44</f>
        <v>0</v>
      </c>
    </row>
    <row r="11" spans="1:77">
      <c r="A11">
        <f>+A10</f>
        <v>0</v>
      </c>
      <c r="B11" s="3" t="s">
        <v>14</v>
      </c>
      <c r="C11" t="s">
        <v>81</v>
      </c>
      <c r="D11" s="22" t="e">
        <f ca="1">VLOOKUP($A11,'4.2'!$A$4:$F$7,D$2,FALSE)*D10</f>
        <v>#N/A</v>
      </c>
      <c r="E11" s="22" t="e">
        <f ca="1">VLOOKUP($A11,'4.2'!$A$4:$F$7,E$2,FALSE)*E10</f>
        <v>#N/A</v>
      </c>
      <c r="F11" s="22" t="e">
        <f ca="1">VLOOKUP($A11,'4.2'!$A$4:$F$7,F$2,FALSE)*F10</f>
        <v>#N/A</v>
      </c>
      <c r="G11" s="22" t="e">
        <f ca="1">VLOOKUP($A11,'4.2'!$A$4:$F$7,G$2,FALSE)*G10</f>
        <v>#N/A</v>
      </c>
      <c r="H11" s="22" t="e">
        <f ca="1">VLOOKUP($A11,'4.2'!$A$4:$F$7,H$2,FALSE)*H10</f>
        <v>#N/A</v>
      </c>
      <c r="I11" s="22" t="e">
        <f ca="1">VLOOKUP($A11,'4.2'!$A$4:$F$7,I$2,FALSE)*I10</f>
        <v>#N/A</v>
      </c>
      <c r="J11" s="22" t="e">
        <f ca="1">VLOOKUP($A11,'4.2'!$A$4:$F$7,J$2,FALSE)*J10</f>
        <v>#N/A</v>
      </c>
      <c r="K11" s="22" t="e">
        <f ca="1">VLOOKUP($A11,'4.2'!$A$4:$F$7,K$2,FALSE)*K10</f>
        <v>#N/A</v>
      </c>
      <c r="L11" s="22" t="e">
        <f ca="1">VLOOKUP($A11,'4.2'!$A$4:$F$7,L$2,FALSE)*L10</f>
        <v>#N/A</v>
      </c>
      <c r="M11" s="22" t="e">
        <f ca="1">VLOOKUP($A11,'4.2'!$A$4:$F$7,M$2,FALSE)*M10</f>
        <v>#N/A</v>
      </c>
      <c r="N11" s="22" t="e">
        <f ca="1">VLOOKUP($A11,'4.2'!$A$4:$F$7,N$2,FALSE)*N10</f>
        <v>#N/A</v>
      </c>
      <c r="O11" s="22" t="e">
        <f ca="1">VLOOKUP($A11,'4.2'!$A$4:$F$7,O$2,FALSE)*O10</f>
        <v>#N/A</v>
      </c>
      <c r="P11" s="22" t="e">
        <f ca="1">VLOOKUP($A11,'4.2'!$A$4:$F$7,P$2,FALSE)*P10</f>
        <v>#N/A</v>
      </c>
      <c r="Q11" s="22" t="e">
        <f ca="1">VLOOKUP($A11,'4.2'!$A$4:$F$7,Q$2,FALSE)*Q10</f>
        <v>#N/A</v>
      </c>
      <c r="R11" s="22" t="e">
        <f ca="1">VLOOKUP($A11,'4.2'!$A$4:$F$7,R$2,FALSE)*R10</f>
        <v>#N/A</v>
      </c>
      <c r="S11" s="22" t="e">
        <f ca="1">VLOOKUP($A11,'4.2'!$A$4:$F$7,S$2,FALSE)*S10</f>
        <v>#N/A</v>
      </c>
      <c r="T11" s="22" t="e">
        <f ca="1">VLOOKUP($A11,'4.2'!$A$4:$F$7,T$2,FALSE)*T10</f>
        <v>#N/A</v>
      </c>
      <c r="U11" s="22" t="e">
        <f ca="1">VLOOKUP($A11,'4.2'!$A$4:$F$7,U$2,FALSE)*U10</f>
        <v>#N/A</v>
      </c>
      <c r="V11" s="22" t="e">
        <f ca="1">VLOOKUP($A11,'4.2'!$A$4:$F$7,V$2,FALSE)*V10</f>
        <v>#N/A</v>
      </c>
      <c r="W11" s="22" t="e">
        <f ca="1">VLOOKUP($A11,'4.2'!$A$4:$F$7,W$2,FALSE)*W10</f>
        <v>#N/A</v>
      </c>
      <c r="X11" s="22" t="e">
        <f ca="1">VLOOKUP($A11,'4.2'!$A$4:$F$7,X$2,FALSE)*X10</f>
        <v>#N/A</v>
      </c>
      <c r="Y11" s="22" t="e">
        <f ca="1">VLOOKUP($A11,'4.2'!$A$4:$F$7,Y$2,FALSE)*Y10</f>
        <v>#N/A</v>
      </c>
      <c r="Z11" s="22" t="e">
        <f ca="1">VLOOKUP($A11,'4.2'!$A$4:$F$7,Z$2,FALSE)*Z10</f>
        <v>#N/A</v>
      </c>
      <c r="AA11" s="22" t="e">
        <f ca="1">VLOOKUP($A11,'4.2'!$A$4:$F$7,AA$2,FALSE)*AA10</f>
        <v>#N/A</v>
      </c>
      <c r="AB11" s="22" t="e">
        <f ca="1">VLOOKUP($A11,'4.2'!$A$4:$F$7,AB$2,FALSE)*AB10</f>
        <v>#N/A</v>
      </c>
      <c r="AC11" s="22" t="e">
        <f ca="1">VLOOKUP($A11,'4.2'!$A$4:$F$7,AC$2,FALSE)*AC10</f>
        <v>#N/A</v>
      </c>
      <c r="AD11" s="22" t="e">
        <f ca="1">VLOOKUP($A11,'4.2'!$A$4:$F$7,AD$2,FALSE)*AD10</f>
        <v>#N/A</v>
      </c>
      <c r="AE11" s="22" t="e">
        <f ca="1">VLOOKUP($A11,'4.2'!$A$4:$F$7,AE$2,FALSE)*AE10</f>
        <v>#N/A</v>
      </c>
      <c r="AF11" s="22" t="e">
        <f ca="1">VLOOKUP($A11,'4.2'!$A$4:$F$7,AF$2,FALSE)*AF10</f>
        <v>#N/A</v>
      </c>
      <c r="AG11" s="22" t="e">
        <f ca="1">VLOOKUP($A11,'4.2'!$A$4:$F$7,AG$2,FALSE)*AG10</f>
        <v>#N/A</v>
      </c>
      <c r="AH11" s="22" t="e">
        <f ca="1">VLOOKUP($A11,'4.2'!$A$4:$F$7,AH$2,FALSE)*AH10</f>
        <v>#N/A</v>
      </c>
      <c r="AI11" s="22" t="e">
        <f ca="1">VLOOKUP($A11,'4.2'!$A$4:$F$7,AI$2,FALSE)*AI10</f>
        <v>#N/A</v>
      </c>
      <c r="AJ11" s="22" t="e">
        <f ca="1">VLOOKUP($A11,'4.2'!$A$4:$F$7,AJ$2,FALSE)*AJ10</f>
        <v>#N/A</v>
      </c>
      <c r="AK11" s="22" t="e">
        <f ca="1">VLOOKUP($A11,'4.2'!$A$4:$F$7,AK$2,FALSE)*AK10</f>
        <v>#N/A</v>
      </c>
      <c r="AL11" s="22" t="e">
        <f ca="1">VLOOKUP($A11,'4.2'!$A$4:$F$7,AL$2,FALSE)*AL10</f>
        <v>#N/A</v>
      </c>
      <c r="AM11" s="22" t="e">
        <f ca="1">VLOOKUP($A11,'4.2'!$A$4:$F$7,AM$2,FALSE)*AM10</f>
        <v>#N/A</v>
      </c>
      <c r="AN11" s="22" t="e">
        <f ca="1">VLOOKUP($A11,'4.2'!$A$4:$F$7,AN$2,FALSE)*AN10</f>
        <v>#N/A</v>
      </c>
      <c r="AO11" s="22" t="e">
        <f ca="1">VLOOKUP($A11,'4.2'!$A$4:$F$7,AO$2,FALSE)*AO10</f>
        <v>#N/A</v>
      </c>
      <c r="AP11" s="22" t="e">
        <f ca="1">VLOOKUP($A11,'4.2'!$A$4:$F$7,AP$2,FALSE)*AP10</f>
        <v>#N/A</v>
      </c>
      <c r="AQ11" s="22" t="e">
        <f ca="1">VLOOKUP($A11,'4.2'!$A$4:$F$7,AQ$2,FALSE)*AQ10</f>
        <v>#N/A</v>
      </c>
      <c r="AR11" s="22" t="e">
        <f ca="1">VLOOKUP($A11,'4.2'!$A$4:$F$7,AR$2,FALSE)*AR10</f>
        <v>#N/A</v>
      </c>
      <c r="AS11" s="22" t="e">
        <f ca="1">VLOOKUP($A11,'4.2'!$A$4:$F$7,AS$2,FALSE)*AS10</f>
        <v>#N/A</v>
      </c>
      <c r="AT11" s="22" t="e">
        <f ca="1">VLOOKUP($A11,'4.2'!$A$4:$F$7,AT$2,FALSE)*AT10</f>
        <v>#N/A</v>
      </c>
      <c r="AU11" s="22" t="e">
        <f ca="1">VLOOKUP($A11,'4.2'!$A$4:$F$7,AU$2,FALSE)*AU10</f>
        <v>#N/A</v>
      </c>
      <c r="AV11" s="22" t="e">
        <f ca="1">VLOOKUP($A11,'4.2'!$A$4:$F$7,AV$2,FALSE)*AV10</f>
        <v>#N/A</v>
      </c>
      <c r="AW11" s="22" t="e">
        <f ca="1">VLOOKUP($A11,'4.2'!$A$4:$F$7,AW$2,FALSE)*AW10</f>
        <v>#N/A</v>
      </c>
      <c r="AX11" s="22" t="e">
        <f ca="1">VLOOKUP($A11,'4.2'!$A$4:$F$7,AX$2,FALSE)*AX10</f>
        <v>#N/A</v>
      </c>
      <c r="AY11" s="22" t="e">
        <f ca="1">VLOOKUP($A11,'4.2'!$A$4:$F$7,AY$2,FALSE)*AY10</f>
        <v>#N/A</v>
      </c>
      <c r="AZ11" s="446" t="e">
        <f ca="1">SUM(D11:AY11)</f>
        <v>#N/A</v>
      </c>
    </row>
    <row r="12" spans="1:77">
      <c r="A12">
        <f t="shared" ref="A12:A14" si="9">+A11</f>
        <v>0</v>
      </c>
      <c r="B12" s="3" t="s">
        <v>14</v>
      </c>
      <c r="C12" t="s">
        <v>79</v>
      </c>
      <c r="D12" s="22" t="e">
        <f ca="1">IF($AZ10&lt;6,0,VLOOKUP($C12,'4.2'!$A$4:$F$11,D$2,FALSE)*D10)</f>
        <v>#N/A</v>
      </c>
      <c r="E12" s="22" t="e">
        <f ca="1">IF($AZ10&lt;6,0,VLOOKUP($C12,'4.2'!$A$4:$F$11,E$2,FALSE)*E10)</f>
        <v>#N/A</v>
      </c>
      <c r="F12" s="22" t="e">
        <f ca="1">IF($AZ10&lt;6,0,VLOOKUP($C12,'4.2'!$A$4:$F$11,F$2,FALSE)*F10)</f>
        <v>#N/A</v>
      </c>
      <c r="G12" s="22" t="e">
        <f ca="1">IF($AZ10&lt;6,0,VLOOKUP($C12,'4.2'!$A$4:$F$11,G$2,FALSE)*G10)</f>
        <v>#N/A</v>
      </c>
      <c r="H12" s="22" t="e">
        <f ca="1">IF($AZ10&lt;6,0,VLOOKUP($C12,'4.2'!$A$4:$F$11,H$2,FALSE)*H10)</f>
        <v>#N/A</v>
      </c>
      <c r="I12" s="22" t="e">
        <f ca="1">IF($AZ10&lt;6,0,VLOOKUP($C12,'4.2'!$A$4:$F$11,I$2,FALSE)*I10)</f>
        <v>#N/A</v>
      </c>
      <c r="J12" s="22" t="e">
        <f ca="1">IF($AZ10&lt;6,0,VLOOKUP($C12,'4.2'!$A$4:$F$11,J$2,FALSE)*J10)</f>
        <v>#N/A</v>
      </c>
      <c r="K12" s="22" t="e">
        <f ca="1">IF($AZ10&lt;6,0,VLOOKUP($C12,'4.2'!$A$4:$F$11,K$2,FALSE)*K10)</f>
        <v>#N/A</v>
      </c>
      <c r="L12" s="22" t="e">
        <f ca="1">IF($AZ10&lt;6,0,VLOOKUP($C12,'4.2'!$A$4:$F$11,L$2,FALSE)*L10)</f>
        <v>#N/A</v>
      </c>
      <c r="M12" s="22" t="e">
        <f ca="1">IF($AZ10&lt;6,0,VLOOKUP($C12,'4.2'!$A$4:$F$11,M$2,FALSE)*M10)</f>
        <v>#N/A</v>
      </c>
      <c r="N12" s="22" t="e">
        <f ca="1">IF($AZ10&lt;6,0,VLOOKUP($C12,'4.2'!$A$4:$F$11,N$2,FALSE)*N10)</f>
        <v>#N/A</v>
      </c>
      <c r="O12" s="22" t="e">
        <f ca="1">IF($AZ10&lt;6,0,VLOOKUP($C12,'4.2'!$A$4:$F$11,O$2,FALSE)*O10)</f>
        <v>#N/A</v>
      </c>
      <c r="P12" s="22" t="e">
        <f ca="1">IF($AZ10&lt;6,0,VLOOKUP($C12,'4.2'!$A$4:$F$11,P$2,FALSE)*P10)</f>
        <v>#N/A</v>
      </c>
      <c r="Q12" s="22" t="e">
        <f ca="1">IF($AZ10&lt;6,0,VLOOKUP($C12,'4.2'!$A$4:$F$11,Q$2,FALSE)*Q10)</f>
        <v>#N/A</v>
      </c>
      <c r="R12" s="22" t="e">
        <f ca="1">IF($AZ10&lt;6,0,VLOOKUP($C12,'4.2'!$A$4:$F$11,R$2,FALSE)*R10)</f>
        <v>#N/A</v>
      </c>
      <c r="S12" s="22" t="e">
        <f ca="1">IF($AZ10&lt;6,0,VLOOKUP($C12,'4.2'!$A$4:$F$11,S$2,FALSE)*S10)</f>
        <v>#N/A</v>
      </c>
      <c r="T12" s="22" t="e">
        <f ca="1">IF($AZ10&lt;6,0,VLOOKUP($C12,'4.2'!$A$4:$F$11,T$2,FALSE)*T10)</f>
        <v>#N/A</v>
      </c>
      <c r="U12" s="22" t="e">
        <f ca="1">IF($AZ10&lt;6,0,VLOOKUP($C12,'4.2'!$A$4:$F$11,U$2,FALSE)*U10)</f>
        <v>#N/A</v>
      </c>
      <c r="V12" s="22" t="e">
        <f ca="1">IF($AZ10&lt;6,0,VLOOKUP($C12,'4.2'!$A$4:$F$11,V$2,FALSE)*V10)</f>
        <v>#N/A</v>
      </c>
      <c r="W12" s="22" t="e">
        <f ca="1">IF($AZ10&lt;6,0,VLOOKUP($C12,'4.2'!$A$4:$F$11,W$2,FALSE)*W10)</f>
        <v>#N/A</v>
      </c>
      <c r="X12" s="22" t="e">
        <f ca="1">IF($AZ10&lt;6,0,VLOOKUP($C12,'4.2'!$A$4:$F$11,X$2,FALSE)*X10)</f>
        <v>#N/A</v>
      </c>
      <c r="Y12" s="22" t="e">
        <f ca="1">IF($AZ10&lt;6,0,VLOOKUP($C12,'4.2'!$A$4:$F$11,Y$2,FALSE)*Y10)</f>
        <v>#N/A</v>
      </c>
      <c r="Z12" s="22" t="e">
        <f ca="1">IF($AZ10&lt;6,0,VLOOKUP($C12,'4.2'!$A$4:$F$11,Z$2,FALSE)*Z10)</f>
        <v>#N/A</v>
      </c>
      <c r="AA12" s="22" t="e">
        <f ca="1">IF($AZ10&lt;6,0,VLOOKUP($C12,'4.2'!$A$4:$F$11,AA$2,FALSE)*AA10)</f>
        <v>#N/A</v>
      </c>
      <c r="AB12" s="22" t="e">
        <f ca="1">IF($AZ10&lt;6,0,VLOOKUP($C12,'4.2'!$A$4:$F$11,AB$2,FALSE)*AB10)</f>
        <v>#N/A</v>
      </c>
      <c r="AC12" s="22" t="e">
        <f ca="1">IF($AZ10&lt;6,0,VLOOKUP($C12,'4.2'!$A$4:$F$11,AC$2,FALSE)*AC10)</f>
        <v>#N/A</v>
      </c>
      <c r="AD12" s="22" t="e">
        <f ca="1">IF($AZ10&lt;6,0,VLOOKUP($C12,'4.2'!$A$4:$F$11,AD$2,FALSE)*AD10)</f>
        <v>#N/A</v>
      </c>
      <c r="AE12" s="22" t="e">
        <f ca="1">IF($AZ10&lt;6,0,VLOOKUP($C12,'4.2'!$A$4:$F$11,AE$2,FALSE)*AE10)</f>
        <v>#N/A</v>
      </c>
      <c r="AF12" s="22" t="e">
        <f ca="1">IF($AZ10&lt;6,0,VLOOKUP($C12,'4.2'!$A$4:$F$11,AF$2,FALSE)*AF10)</f>
        <v>#N/A</v>
      </c>
      <c r="AG12" s="22" t="e">
        <f ca="1">IF($AZ10&lt;6,0,VLOOKUP($C12,'4.2'!$A$4:$F$11,AG$2,FALSE)*AG10)</f>
        <v>#N/A</v>
      </c>
      <c r="AH12" s="22" t="e">
        <f ca="1">IF($AZ10&lt;6,0,VLOOKUP($C12,'4.2'!$A$4:$F$11,AH$2,FALSE)*AH10)</f>
        <v>#N/A</v>
      </c>
      <c r="AI12" s="22" t="e">
        <f ca="1">IF($AZ10&lt;6,0,VLOOKUP($C12,'4.2'!$A$4:$F$11,AI$2,FALSE)*AI10)</f>
        <v>#N/A</v>
      </c>
      <c r="AJ12" s="22" t="e">
        <f ca="1">IF($AZ10&lt;6,0,VLOOKUP($C12,'4.2'!$A$4:$F$11,AJ$2,FALSE)*AJ10)</f>
        <v>#N/A</v>
      </c>
      <c r="AK12" s="22" t="e">
        <f ca="1">IF($AZ10&lt;6,0,VLOOKUP($C12,'4.2'!$A$4:$F$11,AK$2,FALSE)*AK10)</f>
        <v>#N/A</v>
      </c>
      <c r="AL12" s="22" t="e">
        <f ca="1">IF($AZ10&lt;6,0,VLOOKUP($C12,'4.2'!$A$4:$F$11,AL$2,FALSE)*AL10)</f>
        <v>#N/A</v>
      </c>
      <c r="AM12" s="22" t="e">
        <f ca="1">IF($AZ10&lt;6,0,VLOOKUP($C12,'4.2'!$A$4:$F$11,AM$2,FALSE)*AM10)</f>
        <v>#N/A</v>
      </c>
      <c r="AN12" s="22" t="e">
        <f ca="1">IF($AZ10&lt;6,0,VLOOKUP($C12,'4.2'!$A$4:$F$11,AN$2,FALSE)*AN10)</f>
        <v>#N/A</v>
      </c>
      <c r="AO12" s="22" t="e">
        <f ca="1">IF($AZ10&lt;6,0,VLOOKUP($C12,'4.2'!$A$4:$F$11,AO$2,FALSE)*AO10)</f>
        <v>#N/A</v>
      </c>
      <c r="AP12" s="22" t="e">
        <f ca="1">IF($AZ10&lt;6,0,VLOOKUP($C12,'4.2'!$A$4:$F$11,AP$2,FALSE)*AP10)</f>
        <v>#N/A</v>
      </c>
      <c r="AQ12" s="22" t="e">
        <f ca="1">IF($AZ10&lt;6,0,VLOOKUP($C12,'4.2'!$A$4:$F$11,AQ$2,FALSE)*AQ10)</f>
        <v>#N/A</v>
      </c>
      <c r="AR12" s="22" t="e">
        <f ca="1">IF($AZ10&lt;6,0,VLOOKUP($C12,'4.2'!$A$4:$F$11,AR$2,FALSE)*AR10)</f>
        <v>#N/A</v>
      </c>
      <c r="AS12" s="22" t="e">
        <f ca="1">IF($AZ10&lt;6,0,VLOOKUP($C12,'4.2'!$A$4:$F$11,AS$2,FALSE)*AS10)</f>
        <v>#N/A</v>
      </c>
      <c r="AT12" s="22" t="e">
        <f ca="1">IF($AZ10&lt;6,0,VLOOKUP($C12,'4.2'!$A$4:$F$11,AT$2,FALSE)*AT10)</f>
        <v>#N/A</v>
      </c>
      <c r="AU12" s="22" t="e">
        <f ca="1">IF($AZ10&lt;6,0,VLOOKUP($C12,'4.2'!$A$4:$F$11,AU$2,FALSE)*AU10)</f>
        <v>#N/A</v>
      </c>
      <c r="AV12" s="22" t="e">
        <f ca="1">IF($AZ10&lt;6,0,VLOOKUP($C12,'4.2'!$A$4:$F$11,AV$2,FALSE)*AV10)</f>
        <v>#N/A</v>
      </c>
      <c r="AW12" s="22" t="e">
        <f ca="1">IF($AZ10&lt;6,0,VLOOKUP($C12,'4.2'!$A$4:$F$11,AW$2,FALSE)*AW10)</f>
        <v>#N/A</v>
      </c>
      <c r="AX12" s="22" t="e">
        <f ca="1">IF($AZ10&lt;6,0,VLOOKUP($C12,'4.2'!$A$4:$F$11,AX$2,FALSE)*AX10)</f>
        <v>#N/A</v>
      </c>
      <c r="AY12" s="22" t="e">
        <f ca="1">IF($AZ10&lt;6,0,VLOOKUP($C12,'4.2'!$A$4:$F$11,AY$2,FALSE)*AY10)</f>
        <v>#N/A</v>
      </c>
      <c r="AZ12" s="446" t="e">
        <f t="shared" ref="AZ12:AZ13" ca="1" si="10">SUM(D12:AY12)</f>
        <v>#N/A</v>
      </c>
    </row>
    <row r="13" spans="1:77">
      <c r="A13">
        <f t="shared" si="9"/>
        <v>0</v>
      </c>
      <c r="B13" s="3" t="s">
        <v>14</v>
      </c>
      <c r="C13" t="s">
        <v>82</v>
      </c>
      <c r="D13" s="22">
        <f ca="1">'4.2'!$B$11/12*D10</f>
        <v>0</v>
      </c>
      <c r="E13" s="22">
        <f ca="1">'4.2'!$B$11/12*E10</f>
        <v>0</v>
      </c>
      <c r="F13" s="22" t="e">
        <f ca="1">'4.2'!$B$11/12*F10</f>
        <v>#N/A</v>
      </c>
      <c r="G13" s="22" t="e">
        <f ca="1">'4.2'!$B$11/12*G10</f>
        <v>#N/A</v>
      </c>
      <c r="H13" s="22" t="e">
        <f ca="1">'4.2'!$B$11/12*H10</f>
        <v>#N/A</v>
      </c>
      <c r="I13" s="22" t="e">
        <f ca="1">'4.2'!$B$11/12*I10</f>
        <v>#N/A</v>
      </c>
      <c r="J13" s="22" t="e">
        <f ca="1">'4.2'!$B$11/12*J10</f>
        <v>#N/A</v>
      </c>
      <c r="K13" s="22" t="e">
        <f ca="1">'4.2'!$B$11/12*K10</f>
        <v>#N/A</v>
      </c>
      <c r="L13" s="22" t="e">
        <f ca="1">'4.2'!$B$11/12*L10</f>
        <v>#N/A</v>
      </c>
      <c r="M13" s="22" t="e">
        <f ca="1">'4.2'!$B$11/12*M10</f>
        <v>#N/A</v>
      </c>
      <c r="N13" s="22" t="e">
        <f ca="1">'4.2'!$B$11/12*N10</f>
        <v>#N/A</v>
      </c>
      <c r="O13" s="22" t="e">
        <f ca="1">'4.2'!$B$11/12*O10</f>
        <v>#N/A</v>
      </c>
      <c r="P13" s="22" t="e">
        <f ca="1">'4.2'!$B$11/12*P10</f>
        <v>#N/A</v>
      </c>
      <c r="Q13" s="22" t="e">
        <f ca="1">'4.2'!$B$11/12*Q10</f>
        <v>#N/A</v>
      </c>
      <c r="R13" s="22" t="e">
        <f ca="1">'4.2'!$B$11/12*R10</f>
        <v>#N/A</v>
      </c>
      <c r="S13" s="22" t="e">
        <f ca="1">'4.2'!$B$11/12*S10</f>
        <v>#N/A</v>
      </c>
      <c r="T13" s="22" t="e">
        <f ca="1">'4.2'!$B$11/12*T10</f>
        <v>#N/A</v>
      </c>
      <c r="U13" s="22" t="e">
        <f ca="1">'4.2'!$B$11/12*U10</f>
        <v>#N/A</v>
      </c>
      <c r="V13" s="22" t="e">
        <f ca="1">'4.2'!$B$11/12*V10</f>
        <v>#N/A</v>
      </c>
      <c r="W13" s="22" t="e">
        <f ca="1">'4.2'!$B$11/12*W10</f>
        <v>#N/A</v>
      </c>
      <c r="X13" s="22" t="e">
        <f ca="1">'4.2'!$B$11/12*X10</f>
        <v>#N/A</v>
      </c>
      <c r="Y13" s="22" t="e">
        <f ca="1">'4.2'!$B$11/12*Y10</f>
        <v>#N/A</v>
      </c>
      <c r="Z13" s="22" t="e">
        <f ca="1">'4.2'!$B$11/12*Z10</f>
        <v>#N/A</v>
      </c>
      <c r="AA13" s="22" t="e">
        <f ca="1">'4.2'!$B$11/12*AA10</f>
        <v>#N/A</v>
      </c>
      <c r="AB13" s="22" t="e">
        <f ca="1">'4.2'!$B$11/12*AB10</f>
        <v>#N/A</v>
      </c>
      <c r="AC13" s="22" t="e">
        <f ca="1">'4.2'!$B$11/12*AC10</f>
        <v>#N/A</v>
      </c>
      <c r="AD13" s="22" t="e">
        <f ca="1">'4.2'!$B$11/12*AD10</f>
        <v>#N/A</v>
      </c>
      <c r="AE13" s="22" t="e">
        <f ca="1">'4.2'!$B$11/12*AE10</f>
        <v>#N/A</v>
      </c>
      <c r="AF13" s="22" t="e">
        <f ca="1">'4.2'!$B$11/12*AF10</f>
        <v>#N/A</v>
      </c>
      <c r="AG13" s="22" t="e">
        <f ca="1">'4.2'!$B$11/12*AG10</f>
        <v>#N/A</v>
      </c>
      <c r="AH13" s="22" t="e">
        <f ca="1">'4.2'!$B$11/12*AH10</f>
        <v>#N/A</v>
      </c>
      <c r="AI13" s="22" t="e">
        <f ca="1">'4.2'!$B$11/12*AI10</f>
        <v>#N/A</v>
      </c>
      <c r="AJ13" s="22" t="e">
        <f ca="1">'4.2'!$B$11/12*AJ10</f>
        <v>#N/A</v>
      </c>
      <c r="AK13" s="22" t="e">
        <f ca="1">'4.2'!$B$11/12*AK10</f>
        <v>#N/A</v>
      </c>
      <c r="AL13" s="22" t="e">
        <f ca="1">'4.2'!$B$11/12*AL10</f>
        <v>#N/A</v>
      </c>
      <c r="AM13" s="22" t="e">
        <f ca="1">'4.2'!$B$11/12*AM10</f>
        <v>#N/A</v>
      </c>
      <c r="AN13" s="22" t="e">
        <f ca="1">'4.2'!$B$11/12*AN10</f>
        <v>#N/A</v>
      </c>
      <c r="AO13" s="22" t="e">
        <f ca="1">'4.2'!$B$11/12*AO10</f>
        <v>#N/A</v>
      </c>
      <c r="AP13" s="22" t="e">
        <f ca="1">'4.2'!$B$11/12*AP10</f>
        <v>#N/A</v>
      </c>
      <c r="AQ13" s="22" t="e">
        <f ca="1">'4.2'!$B$11/12*AQ10</f>
        <v>#N/A</v>
      </c>
      <c r="AR13" s="22" t="e">
        <f ca="1">'4.2'!$B$11/12*AR10</f>
        <v>#N/A</v>
      </c>
      <c r="AS13" s="22" t="e">
        <f ca="1">'4.2'!$B$11/12*AS10</f>
        <v>#N/A</v>
      </c>
      <c r="AT13" s="22" t="e">
        <f ca="1">'4.2'!$B$11/12*AT10</f>
        <v>#N/A</v>
      </c>
      <c r="AU13" s="22" t="e">
        <f ca="1">'4.2'!$B$11/12*AU10</f>
        <v>#N/A</v>
      </c>
      <c r="AV13" s="22" t="e">
        <f ca="1">'4.2'!$B$11/12*AV10</f>
        <v>#N/A</v>
      </c>
      <c r="AW13" s="22" t="e">
        <f ca="1">'4.2'!$B$11/12*AW10</f>
        <v>#N/A</v>
      </c>
      <c r="AX13" s="22" t="e">
        <f ca="1">'4.2'!$B$11/12*AX10</f>
        <v>#N/A</v>
      </c>
      <c r="AY13" s="22" t="e">
        <f ca="1">'4.2'!$B$11/12*AY10</f>
        <v>#N/A</v>
      </c>
      <c r="AZ13" s="446" t="e">
        <f t="shared" ca="1" si="10"/>
        <v>#N/A</v>
      </c>
    </row>
    <row r="14" spans="1:77">
      <c r="A14">
        <f t="shared" si="9"/>
        <v>0</v>
      </c>
      <c r="B14" s="3" t="s">
        <v>14</v>
      </c>
      <c r="C14" t="s">
        <v>83</v>
      </c>
      <c r="D14" s="22">
        <f ca="1">IFERROR(SUM(D10:D13),0)</f>
        <v>0</v>
      </c>
      <c r="E14" s="22">
        <f t="shared" ref="E14:AM14" ca="1" si="11">IFERROR(SUM(E10:E13),0)</f>
        <v>0</v>
      </c>
      <c r="F14" s="22">
        <f t="shared" ca="1" si="11"/>
        <v>0</v>
      </c>
      <c r="G14" s="22">
        <f t="shared" ca="1" si="11"/>
        <v>0</v>
      </c>
      <c r="H14" s="22">
        <f t="shared" ca="1" si="11"/>
        <v>0</v>
      </c>
      <c r="I14" s="22">
        <f t="shared" ca="1" si="11"/>
        <v>0</v>
      </c>
      <c r="J14" s="22">
        <f t="shared" ca="1" si="11"/>
        <v>0</v>
      </c>
      <c r="K14" s="22">
        <f t="shared" ca="1" si="11"/>
        <v>0</v>
      </c>
      <c r="L14" s="22">
        <f t="shared" ca="1" si="11"/>
        <v>0</v>
      </c>
      <c r="M14" s="22">
        <f t="shared" ca="1" si="11"/>
        <v>0</v>
      </c>
      <c r="N14" s="22">
        <f t="shared" ca="1" si="11"/>
        <v>0</v>
      </c>
      <c r="O14" s="22">
        <f t="shared" ca="1" si="11"/>
        <v>0</v>
      </c>
      <c r="P14" s="22">
        <f t="shared" ca="1" si="11"/>
        <v>0</v>
      </c>
      <c r="Q14" s="22">
        <f t="shared" ca="1" si="11"/>
        <v>0</v>
      </c>
      <c r="R14" s="22">
        <f t="shared" ca="1" si="11"/>
        <v>0</v>
      </c>
      <c r="S14" s="22">
        <f t="shared" ca="1" si="11"/>
        <v>0</v>
      </c>
      <c r="T14" s="22">
        <f t="shared" ca="1" si="11"/>
        <v>0</v>
      </c>
      <c r="U14" s="22">
        <f t="shared" ca="1" si="11"/>
        <v>0</v>
      </c>
      <c r="V14" s="22">
        <f t="shared" ca="1" si="11"/>
        <v>0</v>
      </c>
      <c r="W14" s="22">
        <f t="shared" ca="1" si="11"/>
        <v>0</v>
      </c>
      <c r="X14" s="22">
        <f t="shared" ca="1" si="11"/>
        <v>0</v>
      </c>
      <c r="Y14" s="22">
        <f t="shared" ca="1" si="11"/>
        <v>0</v>
      </c>
      <c r="Z14" s="22">
        <f t="shared" ca="1" si="11"/>
        <v>0</v>
      </c>
      <c r="AA14" s="22">
        <f t="shared" ca="1" si="11"/>
        <v>0</v>
      </c>
      <c r="AB14" s="22">
        <f t="shared" ca="1" si="11"/>
        <v>0</v>
      </c>
      <c r="AC14" s="22">
        <f t="shared" ca="1" si="11"/>
        <v>0</v>
      </c>
      <c r="AD14" s="22">
        <f t="shared" ca="1" si="11"/>
        <v>0</v>
      </c>
      <c r="AE14" s="22">
        <f t="shared" ca="1" si="11"/>
        <v>0</v>
      </c>
      <c r="AF14" s="22">
        <f t="shared" ca="1" si="11"/>
        <v>0</v>
      </c>
      <c r="AG14" s="22">
        <f t="shared" ca="1" si="11"/>
        <v>0</v>
      </c>
      <c r="AH14" s="22">
        <f t="shared" ca="1" si="11"/>
        <v>0</v>
      </c>
      <c r="AI14" s="22">
        <f t="shared" ca="1" si="11"/>
        <v>0</v>
      </c>
      <c r="AJ14" s="22">
        <f t="shared" ca="1" si="11"/>
        <v>0</v>
      </c>
      <c r="AK14" s="22">
        <f t="shared" ca="1" si="11"/>
        <v>0</v>
      </c>
      <c r="AL14" s="22">
        <f t="shared" ca="1" si="11"/>
        <v>0</v>
      </c>
      <c r="AM14" s="22">
        <f t="shared" ca="1" si="11"/>
        <v>0</v>
      </c>
      <c r="AN14" s="22">
        <f t="shared" ref="AN14:AY14" ca="1" si="12">IFERROR(SUM(AN10:AN13),0)</f>
        <v>0</v>
      </c>
      <c r="AO14" s="22">
        <f t="shared" ca="1" si="12"/>
        <v>0</v>
      </c>
      <c r="AP14" s="22">
        <f t="shared" ca="1" si="12"/>
        <v>0</v>
      </c>
      <c r="AQ14" s="22">
        <f t="shared" ca="1" si="12"/>
        <v>0</v>
      </c>
      <c r="AR14" s="22">
        <f t="shared" ca="1" si="12"/>
        <v>0</v>
      </c>
      <c r="AS14" s="22">
        <f t="shared" ca="1" si="12"/>
        <v>0</v>
      </c>
      <c r="AT14" s="22">
        <f t="shared" ca="1" si="12"/>
        <v>0</v>
      </c>
      <c r="AU14" s="22">
        <f t="shared" ca="1" si="12"/>
        <v>0</v>
      </c>
      <c r="AV14" s="22">
        <f t="shared" ca="1" si="12"/>
        <v>0</v>
      </c>
      <c r="AW14" s="22">
        <f t="shared" ca="1" si="12"/>
        <v>0</v>
      </c>
      <c r="AX14" s="22">
        <f t="shared" ca="1" si="12"/>
        <v>0</v>
      </c>
      <c r="AY14" s="22">
        <f t="shared" ca="1" si="12"/>
        <v>0</v>
      </c>
      <c r="AZ14" s="446">
        <f ca="1">ROUNDUP(SUM(D14:AY14),0)</f>
        <v>0</v>
      </c>
      <c r="BB14" s="21">
        <f ca="1">IFERROR($AZ14/$BA10*BB10,0)</f>
        <v>0</v>
      </c>
      <c r="BC14" s="21">
        <f t="shared" ref="BC14:BU14" ca="1" si="13">IFERROR($AZ14/$BA10*BC10,0)</f>
        <v>0</v>
      </c>
      <c r="BD14" s="21">
        <f t="shared" ca="1" si="13"/>
        <v>0</v>
      </c>
      <c r="BE14" s="21">
        <f t="shared" ca="1" si="13"/>
        <v>0</v>
      </c>
      <c r="BF14" s="21">
        <f t="shared" ca="1" si="13"/>
        <v>0</v>
      </c>
      <c r="BG14" s="21">
        <f t="shared" ca="1" si="13"/>
        <v>0</v>
      </c>
      <c r="BH14" s="21">
        <f t="shared" ca="1" si="13"/>
        <v>0</v>
      </c>
      <c r="BI14" s="21">
        <f t="shared" ca="1" si="13"/>
        <v>0</v>
      </c>
      <c r="BJ14" s="21">
        <f t="shared" ca="1" si="13"/>
        <v>0</v>
      </c>
      <c r="BK14" s="21">
        <f t="shared" ca="1" si="13"/>
        <v>0</v>
      </c>
      <c r="BL14" s="21">
        <f t="shared" ca="1" si="13"/>
        <v>0</v>
      </c>
      <c r="BM14" s="21">
        <f t="shared" ca="1" si="13"/>
        <v>0</v>
      </c>
      <c r="BN14" s="21">
        <f t="shared" ca="1" si="13"/>
        <v>0</v>
      </c>
      <c r="BO14" s="21">
        <f t="shared" ca="1" si="13"/>
        <v>0</v>
      </c>
      <c r="BP14" s="21">
        <f t="shared" ca="1" si="13"/>
        <v>0</v>
      </c>
      <c r="BQ14" s="21">
        <f t="shared" ca="1" si="13"/>
        <v>0</v>
      </c>
      <c r="BR14" s="21">
        <f t="shared" ca="1" si="13"/>
        <v>0</v>
      </c>
      <c r="BS14" s="21">
        <f t="shared" ca="1" si="13"/>
        <v>0</v>
      </c>
      <c r="BT14" s="21">
        <f t="shared" ca="1" si="13"/>
        <v>0</v>
      </c>
      <c r="BU14" s="21">
        <f t="shared" ca="1" si="13"/>
        <v>0</v>
      </c>
      <c r="BV14" s="446">
        <f ca="1">SUM(D14:O14)</f>
        <v>0</v>
      </c>
      <c r="BW14" s="446">
        <f ca="1">SUM(P14:AA14)</f>
        <v>0</v>
      </c>
      <c r="BX14" s="446">
        <f ca="1">SUM(AB14:AM14)</f>
        <v>0</v>
      </c>
      <c r="BY14" s="446">
        <f ca="1">SUM(AN14:AY14)</f>
        <v>0</v>
      </c>
    </row>
    <row r="15" spans="1:77" s="23" customFormat="1">
      <c r="A15" s="23">
        <f>+'4.Team'!C45</f>
        <v>0</v>
      </c>
      <c r="B15" s="15" t="s">
        <v>15</v>
      </c>
      <c r="C15" s="23" t="s">
        <v>1</v>
      </c>
      <c r="D15" s="24">
        <f ca="1">+'4.Team'!J45</f>
        <v>0</v>
      </c>
      <c r="E15" s="24">
        <f ca="1">+'4.Team'!K45</f>
        <v>0</v>
      </c>
      <c r="F15" s="24" t="e">
        <f ca="1">+'4.Team'!L45</f>
        <v>#N/A</v>
      </c>
      <c r="G15" s="24" t="e">
        <f ca="1">+'4.Team'!M45</f>
        <v>#N/A</v>
      </c>
      <c r="H15" s="24" t="e">
        <f ca="1">+'4.Team'!N45</f>
        <v>#N/A</v>
      </c>
      <c r="I15" s="24" t="e">
        <f ca="1">+'4.Team'!O45</f>
        <v>#N/A</v>
      </c>
      <c r="J15" s="24" t="e">
        <f ca="1">+'4.Team'!P45</f>
        <v>#N/A</v>
      </c>
      <c r="K15" s="24" t="e">
        <f ca="1">+'4.Team'!Q45</f>
        <v>#N/A</v>
      </c>
      <c r="L15" s="24" t="e">
        <f ca="1">+'4.Team'!R45</f>
        <v>#N/A</v>
      </c>
      <c r="M15" s="24" t="e">
        <f ca="1">+'4.Team'!S45</f>
        <v>#N/A</v>
      </c>
      <c r="N15" s="24" t="e">
        <f ca="1">+'4.Team'!T45</f>
        <v>#N/A</v>
      </c>
      <c r="O15" s="24" t="e">
        <f ca="1">+'4.Team'!U45</f>
        <v>#N/A</v>
      </c>
      <c r="P15" s="24" t="e">
        <f ca="1">+'4.Team'!V45</f>
        <v>#N/A</v>
      </c>
      <c r="Q15" s="24" t="e">
        <f ca="1">+'4.Team'!W45</f>
        <v>#N/A</v>
      </c>
      <c r="R15" s="24" t="e">
        <f ca="1">+'4.Team'!X45</f>
        <v>#N/A</v>
      </c>
      <c r="S15" s="24" t="e">
        <f ca="1">+'4.Team'!Y45</f>
        <v>#N/A</v>
      </c>
      <c r="T15" s="24" t="e">
        <f ca="1">+'4.Team'!Z45</f>
        <v>#N/A</v>
      </c>
      <c r="U15" s="24" t="e">
        <f ca="1">+'4.Team'!AA45</f>
        <v>#N/A</v>
      </c>
      <c r="V15" s="24" t="e">
        <f ca="1">+'4.Team'!AB45</f>
        <v>#N/A</v>
      </c>
      <c r="W15" s="24" t="e">
        <f ca="1">+'4.Team'!AC45</f>
        <v>#N/A</v>
      </c>
      <c r="X15" s="24" t="e">
        <f ca="1">+'4.Team'!AD45</f>
        <v>#N/A</v>
      </c>
      <c r="Y15" s="24" t="e">
        <f ca="1">+'4.Team'!AE45</f>
        <v>#N/A</v>
      </c>
      <c r="Z15" s="24" t="e">
        <f ca="1">+'4.Team'!AF45</f>
        <v>#N/A</v>
      </c>
      <c r="AA15" s="24" t="e">
        <f ca="1">+'4.Team'!AG45</f>
        <v>#N/A</v>
      </c>
      <c r="AB15" s="24" t="e">
        <f ca="1">+'4.Team'!AH45</f>
        <v>#N/A</v>
      </c>
      <c r="AC15" s="24" t="e">
        <f ca="1">+'4.Team'!AI45</f>
        <v>#N/A</v>
      </c>
      <c r="AD15" s="24" t="e">
        <f ca="1">+'4.Team'!AJ45</f>
        <v>#N/A</v>
      </c>
      <c r="AE15" s="24" t="e">
        <f ca="1">+'4.Team'!AK45</f>
        <v>#N/A</v>
      </c>
      <c r="AF15" s="24" t="e">
        <f ca="1">+'4.Team'!AL45</f>
        <v>#N/A</v>
      </c>
      <c r="AG15" s="24" t="e">
        <f ca="1">+'4.Team'!AM45</f>
        <v>#N/A</v>
      </c>
      <c r="AH15" s="24" t="e">
        <f ca="1">+'4.Team'!AN45</f>
        <v>#N/A</v>
      </c>
      <c r="AI15" s="24" t="e">
        <f ca="1">+'4.Team'!AO45</f>
        <v>#N/A</v>
      </c>
      <c r="AJ15" s="24" t="e">
        <f ca="1">+'4.Team'!AP45</f>
        <v>#N/A</v>
      </c>
      <c r="AK15" s="24" t="e">
        <f ca="1">+'4.Team'!AQ45</f>
        <v>#N/A</v>
      </c>
      <c r="AL15" s="24" t="e">
        <f ca="1">+'4.Team'!AR45</f>
        <v>#N/A</v>
      </c>
      <c r="AM15" s="24" t="e">
        <f ca="1">+'4.Team'!AS45</f>
        <v>#N/A</v>
      </c>
      <c r="AN15" s="24" t="e">
        <f ca="1">+'4.Team'!AT45</f>
        <v>#N/A</v>
      </c>
      <c r="AO15" s="24" t="e">
        <f ca="1">+'4.Team'!AU45</f>
        <v>#N/A</v>
      </c>
      <c r="AP15" s="24" t="e">
        <f ca="1">+'4.Team'!AV45</f>
        <v>#N/A</v>
      </c>
      <c r="AQ15" s="24" t="e">
        <f ca="1">+'4.Team'!AW45</f>
        <v>#N/A</v>
      </c>
      <c r="AR15" s="24" t="e">
        <f ca="1">+'4.Team'!AX45</f>
        <v>#N/A</v>
      </c>
      <c r="AS15" s="24" t="e">
        <f ca="1">+'4.Team'!AY45</f>
        <v>#N/A</v>
      </c>
      <c r="AT15" s="24" t="e">
        <f ca="1">+'4.Team'!AZ45</f>
        <v>#N/A</v>
      </c>
      <c r="AU15" s="24" t="e">
        <f ca="1">+'4.Team'!BA45</f>
        <v>#N/A</v>
      </c>
      <c r="AV15" s="24" t="e">
        <f ca="1">+'4.Team'!BB45</f>
        <v>#N/A</v>
      </c>
      <c r="AW15" s="24" t="e">
        <f ca="1">+'4.Team'!BC45</f>
        <v>#N/A</v>
      </c>
      <c r="AX15" s="24" t="e">
        <f ca="1">+'4.Team'!BD45</f>
        <v>#N/A</v>
      </c>
      <c r="AY15" s="24" t="e">
        <f ca="1">+'4.Team'!BE45</f>
        <v>#N/A</v>
      </c>
      <c r="AZ15" s="23" t="e">
        <f ca="1">SUM(D15:AY15)</f>
        <v>#N/A</v>
      </c>
      <c r="BA15" s="23">
        <f>+'4.Team'!I45</f>
        <v>0</v>
      </c>
      <c r="BB15" s="23">
        <f>+'4.Team'!BF45</f>
        <v>0</v>
      </c>
      <c r="BC15" s="23">
        <f>+'4.Team'!BG45</f>
        <v>0</v>
      </c>
      <c r="BD15" s="23">
        <f>+'4.Team'!BH45</f>
        <v>0</v>
      </c>
      <c r="BE15" s="23">
        <f>+'4.Team'!BI45</f>
        <v>0</v>
      </c>
      <c r="BF15" s="23">
        <f>+'4.Team'!BJ45</f>
        <v>0</v>
      </c>
      <c r="BG15" s="23">
        <f>+'4.Team'!BK45</f>
        <v>0</v>
      </c>
      <c r="BH15" s="23">
        <f>+'4.Team'!BL45</f>
        <v>0</v>
      </c>
      <c r="BI15" s="23">
        <f>+'4.Team'!BM45</f>
        <v>0</v>
      </c>
      <c r="BJ15" s="23">
        <f>+'4.Team'!BN45</f>
        <v>0</v>
      </c>
      <c r="BK15" s="23">
        <f>+'4.Team'!BO45</f>
        <v>0</v>
      </c>
      <c r="BL15" s="23">
        <f>+'4.Team'!BP45</f>
        <v>0</v>
      </c>
      <c r="BM15" s="23">
        <f>+'4.Team'!BQ45</f>
        <v>0</v>
      </c>
      <c r="BN15" s="23">
        <f>+'4.Team'!BR45</f>
        <v>0</v>
      </c>
      <c r="BO15" s="23">
        <f>+'4.Team'!BS45</f>
        <v>0</v>
      </c>
      <c r="BP15" s="23">
        <f>+'4.Team'!BT45</f>
        <v>0</v>
      </c>
      <c r="BQ15" s="23">
        <f>+'4.Team'!BU45</f>
        <v>0</v>
      </c>
      <c r="BR15" s="23">
        <f>+'4.Team'!BV45</f>
        <v>0</v>
      </c>
      <c r="BS15" s="23">
        <f>+'4.Team'!BW45</f>
        <v>0</v>
      </c>
      <c r="BT15" s="23">
        <f>+'4.Team'!BX45</f>
        <v>0</v>
      </c>
      <c r="BU15" s="23">
        <f>+'4.Team'!BY45</f>
        <v>0</v>
      </c>
    </row>
    <row r="16" spans="1:77">
      <c r="A16">
        <f>+A15</f>
        <v>0</v>
      </c>
      <c r="B16" s="3" t="s">
        <v>15</v>
      </c>
      <c r="C16" t="s">
        <v>81</v>
      </c>
      <c r="D16" s="22" t="e">
        <f ca="1">VLOOKUP($A16,'4.2'!$A$4:$F$7,D$2,FALSE)*D15</f>
        <v>#N/A</v>
      </c>
      <c r="E16" s="22" t="e">
        <f ca="1">VLOOKUP($A16,'4.2'!$A$4:$F$7,E$2,FALSE)*E15</f>
        <v>#N/A</v>
      </c>
      <c r="F16" s="22" t="e">
        <f ca="1">VLOOKUP($A16,'4.2'!$A$4:$F$7,F$2,FALSE)*F15</f>
        <v>#N/A</v>
      </c>
      <c r="G16" s="22" t="e">
        <f ca="1">VLOOKUP($A16,'4.2'!$A$4:$F$7,G$2,FALSE)*G15</f>
        <v>#N/A</v>
      </c>
      <c r="H16" s="22" t="e">
        <f ca="1">VLOOKUP($A16,'4.2'!$A$4:$F$7,H$2,FALSE)*H15</f>
        <v>#N/A</v>
      </c>
      <c r="I16" s="22" t="e">
        <f ca="1">VLOOKUP($A16,'4.2'!$A$4:$F$7,I$2,FALSE)*I15</f>
        <v>#N/A</v>
      </c>
      <c r="J16" s="22" t="e">
        <f ca="1">VLOOKUP($A16,'4.2'!$A$4:$F$7,J$2,FALSE)*J15</f>
        <v>#N/A</v>
      </c>
      <c r="K16" s="22" t="e">
        <f ca="1">VLOOKUP($A16,'4.2'!$A$4:$F$7,K$2,FALSE)*K15</f>
        <v>#N/A</v>
      </c>
      <c r="L16" s="22" t="e">
        <f ca="1">VLOOKUP($A16,'4.2'!$A$4:$F$7,L$2,FALSE)*L15</f>
        <v>#N/A</v>
      </c>
      <c r="M16" s="22" t="e">
        <f ca="1">VLOOKUP($A16,'4.2'!$A$4:$F$7,M$2,FALSE)*M15</f>
        <v>#N/A</v>
      </c>
      <c r="N16" s="22" t="e">
        <f ca="1">VLOOKUP($A16,'4.2'!$A$4:$F$7,N$2,FALSE)*N15</f>
        <v>#N/A</v>
      </c>
      <c r="O16" s="22" t="e">
        <f ca="1">VLOOKUP($A16,'4.2'!$A$4:$F$7,O$2,FALSE)*O15</f>
        <v>#N/A</v>
      </c>
      <c r="P16" s="22" t="e">
        <f ca="1">VLOOKUP($A16,'4.2'!$A$4:$F$7,P$2,FALSE)*P15</f>
        <v>#N/A</v>
      </c>
      <c r="Q16" s="22" t="e">
        <f ca="1">VLOOKUP($A16,'4.2'!$A$4:$F$7,Q$2,FALSE)*Q15</f>
        <v>#N/A</v>
      </c>
      <c r="R16" s="22" t="e">
        <f ca="1">VLOOKUP($A16,'4.2'!$A$4:$F$7,R$2,FALSE)*R15</f>
        <v>#N/A</v>
      </c>
      <c r="S16" s="22" t="e">
        <f ca="1">VLOOKUP($A16,'4.2'!$A$4:$F$7,S$2,FALSE)*S15</f>
        <v>#N/A</v>
      </c>
      <c r="T16" s="22" t="e">
        <f ca="1">VLOOKUP($A16,'4.2'!$A$4:$F$7,T$2,FALSE)*T15</f>
        <v>#N/A</v>
      </c>
      <c r="U16" s="22" t="e">
        <f ca="1">VLOOKUP($A16,'4.2'!$A$4:$F$7,U$2,FALSE)*U15</f>
        <v>#N/A</v>
      </c>
      <c r="V16" s="22" t="e">
        <f ca="1">VLOOKUP($A16,'4.2'!$A$4:$F$7,V$2,FALSE)*V15</f>
        <v>#N/A</v>
      </c>
      <c r="W16" s="22" t="e">
        <f ca="1">VLOOKUP($A16,'4.2'!$A$4:$F$7,W$2,FALSE)*W15</f>
        <v>#N/A</v>
      </c>
      <c r="X16" s="22" t="e">
        <f ca="1">VLOOKUP($A16,'4.2'!$A$4:$F$7,X$2,FALSE)*X15</f>
        <v>#N/A</v>
      </c>
      <c r="Y16" s="22" t="e">
        <f ca="1">VLOOKUP($A16,'4.2'!$A$4:$F$7,Y$2,FALSE)*Y15</f>
        <v>#N/A</v>
      </c>
      <c r="Z16" s="22" t="e">
        <f ca="1">VLOOKUP($A16,'4.2'!$A$4:$F$7,Z$2,FALSE)*Z15</f>
        <v>#N/A</v>
      </c>
      <c r="AA16" s="22" t="e">
        <f ca="1">VLOOKUP($A16,'4.2'!$A$4:$F$7,AA$2,FALSE)*AA15</f>
        <v>#N/A</v>
      </c>
      <c r="AB16" s="22" t="e">
        <f ca="1">VLOOKUP($A16,'4.2'!$A$4:$F$7,AB$2,FALSE)*AB15</f>
        <v>#N/A</v>
      </c>
      <c r="AC16" s="22" t="e">
        <f ca="1">VLOOKUP($A16,'4.2'!$A$4:$F$7,AC$2,FALSE)*AC15</f>
        <v>#N/A</v>
      </c>
      <c r="AD16" s="22" t="e">
        <f ca="1">VLOOKUP($A16,'4.2'!$A$4:$F$7,AD$2,FALSE)*AD15</f>
        <v>#N/A</v>
      </c>
      <c r="AE16" s="22" t="e">
        <f ca="1">VLOOKUP($A16,'4.2'!$A$4:$F$7,AE$2,FALSE)*AE15</f>
        <v>#N/A</v>
      </c>
      <c r="AF16" s="22" t="e">
        <f ca="1">VLOOKUP($A16,'4.2'!$A$4:$F$7,AF$2,FALSE)*AF15</f>
        <v>#N/A</v>
      </c>
      <c r="AG16" s="22" t="e">
        <f ca="1">VLOOKUP($A16,'4.2'!$A$4:$F$7,AG$2,FALSE)*AG15</f>
        <v>#N/A</v>
      </c>
      <c r="AH16" s="22" t="e">
        <f ca="1">VLOOKUP($A16,'4.2'!$A$4:$F$7,AH$2,FALSE)*AH15</f>
        <v>#N/A</v>
      </c>
      <c r="AI16" s="22" t="e">
        <f ca="1">VLOOKUP($A16,'4.2'!$A$4:$F$7,AI$2,FALSE)*AI15</f>
        <v>#N/A</v>
      </c>
      <c r="AJ16" s="22" t="e">
        <f ca="1">VLOOKUP($A16,'4.2'!$A$4:$F$7,AJ$2,FALSE)*AJ15</f>
        <v>#N/A</v>
      </c>
      <c r="AK16" s="22" t="e">
        <f ca="1">VLOOKUP($A16,'4.2'!$A$4:$F$7,AK$2,FALSE)*AK15</f>
        <v>#N/A</v>
      </c>
      <c r="AL16" s="22" t="e">
        <f ca="1">VLOOKUP($A16,'4.2'!$A$4:$F$7,AL$2,FALSE)*AL15</f>
        <v>#N/A</v>
      </c>
      <c r="AM16" s="22" t="e">
        <f ca="1">VLOOKUP($A16,'4.2'!$A$4:$F$7,AM$2,FALSE)*AM15</f>
        <v>#N/A</v>
      </c>
      <c r="AN16" s="22" t="e">
        <f ca="1">VLOOKUP($A16,'4.2'!$A$4:$F$7,AN$2,FALSE)*AN15</f>
        <v>#N/A</v>
      </c>
      <c r="AO16" s="22" t="e">
        <f ca="1">VLOOKUP($A16,'4.2'!$A$4:$F$7,AO$2,FALSE)*AO15</f>
        <v>#N/A</v>
      </c>
      <c r="AP16" s="22" t="e">
        <f ca="1">VLOOKUP($A16,'4.2'!$A$4:$F$7,AP$2,FALSE)*AP15</f>
        <v>#N/A</v>
      </c>
      <c r="AQ16" s="22" t="e">
        <f ca="1">VLOOKUP($A16,'4.2'!$A$4:$F$7,AQ$2,FALSE)*AQ15</f>
        <v>#N/A</v>
      </c>
      <c r="AR16" s="22" t="e">
        <f ca="1">VLOOKUP($A16,'4.2'!$A$4:$F$7,AR$2,FALSE)*AR15</f>
        <v>#N/A</v>
      </c>
      <c r="AS16" s="22" t="e">
        <f ca="1">VLOOKUP($A16,'4.2'!$A$4:$F$7,AS$2,FALSE)*AS15</f>
        <v>#N/A</v>
      </c>
      <c r="AT16" s="22" t="e">
        <f ca="1">VLOOKUP($A16,'4.2'!$A$4:$F$7,AT$2,FALSE)*AT15</f>
        <v>#N/A</v>
      </c>
      <c r="AU16" s="22" t="e">
        <f ca="1">VLOOKUP($A16,'4.2'!$A$4:$F$7,AU$2,FALSE)*AU15</f>
        <v>#N/A</v>
      </c>
      <c r="AV16" s="22" t="e">
        <f ca="1">VLOOKUP($A16,'4.2'!$A$4:$F$7,AV$2,FALSE)*AV15</f>
        <v>#N/A</v>
      </c>
      <c r="AW16" s="22" t="e">
        <f ca="1">VLOOKUP($A16,'4.2'!$A$4:$F$7,AW$2,FALSE)*AW15</f>
        <v>#N/A</v>
      </c>
      <c r="AX16" s="22" t="e">
        <f ca="1">VLOOKUP($A16,'4.2'!$A$4:$F$7,AX$2,FALSE)*AX15</f>
        <v>#N/A</v>
      </c>
      <c r="AY16" s="22" t="e">
        <f ca="1">VLOOKUP($A16,'4.2'!$A$4:$F$7,AY$2,FALSE)*AY15</f>
        <v>#N/A</v>
      </c>
      <c r="AZ16" s="446" t="e">
        <f ca="1">SUM(D16:AY16)</f>
        <v>#N/A</v>
      </c>
    </row>
    <row r="17" spans="1:77">
      <c r="A17">
        <f t="shared" ref="A17:A19" si="14">+A16</f>
        <v>0</v>
      </c>
      <c r="B17" s="3" t="s">
        <v>15</v>
      </c>
      <c r="C17" t="s">
        <v>79</v>
      </c>
      <c r="D17" s="22" t="e">
        <f ca="1">IF($AZ15&lt;6,0,VLOOKUP($C17,'4.2'!$A$4:$F$11,D$2,FALSE)*D15)</f>
        <v>#N/A</v>
      </c>
      <c r="E17" s="22" t="e">
        <f ca="1">IF($AZ15&lt;6,0,VLOOKUP($C17,'4.2'!$A$4:$F$11,E$2,FALSE)*E15)</f>
        <v>#N/A</v>
      </c>
      <c r="F17" s="22" t="e">
        <f ca="1">IF($AZ15&lt;6,0,VLOOKUP($C17,'4.2'!$A$4:$F$11,F$2,FALSE)*F15)</f>
        <v>#N/A</v>
      </c>
      <c r="G17" s="22" t="e">
        <f ca="1">IF($AZ15&lt;6,0,VLOOKUP($C17,'4.2'!$A$4:$F$11,G$2,FALSE)*G15)</f>
        <v>#N/A</v>
      </c>
      <c r="H17" s="22" t="e">
        <f ca="1">IF($AZ15&lt;6,0,VLOOKUP($C17,'4.2'!$A$4:$F$11,H$2,FALSE)*H15)</f>
        <v>#N/A</v>
      </c>
      <c r="I17" s="22" t="e">
        <f ca="1">IF($AZ15&lt;6,0,VLOOKUP($C17,'4.2'!$A$4:$F$11,I$2,FALSE)*I15)</f>
        <v>#N/A</v>
      </c>
      <c r="J17" s="22" t="e">
        <f ca="1">IF($AZ15&lt;6,0,VLOOKUP($C17,'4.2'!$A$4:$F$11,J$2,FALSE)*J15)</f>
        <v>#N/A</v>
      </c>
      <c r="K17" s="22" t="e">
        <f ca="1">IF($AZ15&lt;6,0,VLOOKUP($C17,'4.2'!$A$4:$F$11,K$2,FALSE)*K15)</f>
        <v>#N/A</v>
      </c>
      <c r="L17" s="22" t="e">
        <f ca="1">IF($AZ15&lt;6,0,VLOOKUP($C17,'4.2'!$A$4:$F$11,L$2,FALSE)*L15)</f>
        <v>#N/A</v>
      </c>
      <c r="M17" s="22" t="e">
        <f ca="1">IF($AZ15&lt;6,0,VLOOKUP($C17,'4.2'!$A$4:$F$11,M$2,FALSE)*M15)</f>
        <v>#N/A</v>
      </c>
      <c r="N17" s="22" t="e">
        <f ca="1">IF($AZ15&lt;6,0,VLOOKUP($C17,'4.2'!$A$4:$F$11,N$2,FALSE)*N15)</f>
        <v>#N/A</v>
      </c>
      <c r="O17" s="22" t="e">
        <f ca="1">IF($AZ15&lt;6,0,VLOOKUP($C17,'4.2'!$A$4:$F$11,O$2,FALSE)*O15)</f>
        <v>#N/A</v>
      </c>
      <c r="P17" s="22" t="e">
        <f ca="1">IF($AZ15&lt;6,0,VLOOKUP($C17,'4.2'!$A$4:$F$11,P$2,FALSE)*P15)</f>
        <v>#N/A</v>
      </c>
      <c r="Q17" s="22" t="e">
        <f ca="1">IF($AZ15&lt;6,0,VLOOKUP($C17,'4.2'!$A$4:$F$11,Q$2,FALSE)*Q15)</f>
        <v>#N/A</v>
      </c>
      <c r="R17" s="22" t="e">
        <f ca="1">IF($AZ15&lt;6,0,VLOOKUP($C17,'4.2'!$A$4:$F$11,R$2,FALSE)*R15)</f>
        <v>#N/A</v>
      </c>
      <c r="S17" s="22" t="e">
        <f ca="1">IF($AZ15&lt;6,0,VLOOKUP($C17,'4.2'!$A$4:$F$11,S$2,FALSE)*S15)</f>
        <v>#N/A</v>
      </c>
      <c r="T17" s="22" t="e">
        <f ca="1">IF($AZ15&lt;6,0,VLOOKUP($C17,'4.2'!$A$4:$F$11,T$2,FALSE)*T15)</f>
        <v>#N/A</v>
      </c>
      <c r="U17" s="22" t="e">
        <f ca="1">IF($AZ15&lt;6,0,VLOOKUP($C17,'4.2'!$A$4:$F$11,U$2,FALSE)*U15)</f>
        <v>#N/A</v>
      </c>
      <c r="V17" s="22" t="e">
        <f ca="1">IF($AZ15&lt;6,0,VLOOKUP($C17,'4.2'!$A$4:$F$11,V$2,FALSE)*V15)</f>
        <v>#N/A</v>
      </c>
      <c r="W17" s="22" t="e">
        <f ca="1">IF($AZ15&lt;6,0,VLOOKUP($C17,'4.2'!$A$4:$F$11,W$2,FALSE)*W15)</f>
        <v>#N/A</v>
      </c>
      <c r="X17" s="22" t="e">
        <f ca="1">IF($AZ15&lt;6,0,VLOOKUP($C17,'4.2'!$A$4:$F$11,X$2,FALSE)*X15)</f>
        <v>#N/A</v>
      </c>
      <c r="Y17" s="22" t="e">
        <f ca="1">IF($AZ15&lt;6,0,VLOOKUP($C17,'4.2'!$A$4:$F$11,Y$2,FALSE)*Y15)</f>
        <v>#N/A</v>
      </c>
      <c r="Z17" s="22" t="e">
        <f ca="1">IF($AZ15&lt;6,0,VLOOKUP($C17,'4.2'!$A$4:$F$11,Z$2,FALSE)*Z15)</f>
        <v>#N/A</v>
      </c>
      <c r="AA17" s="22" t="e">
        <f ca="1">IF($AZ15&lt;6,0,VLOOKUP($C17,'4.2'!$A$4:$F$11,AA$2,FALSE)*AA15)</f>
        <v>#N/A</v>
      </c>
      <c r="AB17" s="22" t="e">
        <f ca="1">IF($AZ15&lt;6,0,VLOOKUP($C17,'4.2'!$A$4:$F$11,AB$2,FALSE)*AB15)</f>
        <v>#N/A</v>
      </c>
      <c r="AC17" s="22" t="e">
        <f ca="1">IF($AZ15&lt;6,0,VLOOKUP($C17,'4.2'!$A$4:$F$11,AC$2,FALSE)*AC15)</f>
        <v>#N/A</v>
      </c>
      <c r="AD17" s="22" t="e">
        <f ca="1">IF($AZ15&lt;6,0,VLOOKUP($C17,'4.2'!$A$4:$F$11,AD$2,FALSE)*AD15)</f>
        <v>#N/A</v>
      </c>
      <c r="AE17" s="22" t="e">
        <f ca="1">IF($AZ15&lt;6,0,VLOOKUP($C17,'4.2'!$A$4:$F$11,AE$2,FALSE)*AE15)</f>
        <v>#N/A</v>
      </c>
      <c r="AF17" s="22" t="e">
        <f ca="1">IF($AZ15&lt;6,0,VLOOKUP($C17,'4.2'!$A$4:$F$11,AF$2,FALSE)*AF15)</f>
        <v>#N/A</v>
      </c>
      <c r="AG17" s="22" t="e">
        <f ca="1">IF($AZ15&lt;6,0,VLOOKUP($C17,'4.2'!$A$4:$F$11,AG$2,FALSE)*AG15)</f>
        <v>#N/A</v>
      </c>
      <c r="AH17" s="22" t="e">
        <f ca="1">IF($AZ15&lt;6,0,VLOOKUP($C17,'4.2'!$A$4:$F$11,AH$2,FALSE)*AH15)</f>
        <v>#N/A</v>
      </c>
      <c r="AI17" s="22" t="e">
        <f ca="1">IF($AZ15&lt;6,0,VLOOKUP($C17,'4.2'!$A$4:$F$11,AI$2,FALSE)*AI15)</f>
        <v>#N/A</v>
      </c>
      <c r="AJ17" s="22" t="e">
        <f ca="1">IF($AZ15&lt;6,0,VLOOKUP($C17,'4.2'!$A$4:$F$11,AJ$2,FALSE)*AJ15)</f>
        <v>#N/A</v>
      </c>
      <c r="AK17" s="22" t="e">
        <f ca="1">IF($AZ15&lt;6,0,VLOOKUP($C17,'4.2'!$A$4:$F$11,AK$2,FALSE)*AK15)</f>
        <v>#N/A</v>
      </c>
      <c r="AL17" s="22" t="e">
        <f ca="1">IF($AZ15&lt;6,0,VLOOKUP($C17,'4.2'!$A$4:$F$11,AL$2,FALSE)*AL15)</f>
        <v>#N/A</v>
      </c>
      <c r="AM17" s="22" t="e">
        <f ca="1">IF($AZ15&lt;6,0,VLOOKUP($C17,'4.2'!$A$4:$F$11,AM$2,FALSE)*AM15)</f>
        <v>#N/A</v>
      </c>
      <c r="AN17" s="22" t="e">
        <f ca="1">IF($AZ15&lt;6,0,VLOOKUP($C17,'4.2'!$A$4:$F$11,AN$2,FALSE)*AN15)</f>
        <v>#N/A</v>
      </c>
      <c r="AO17" s="22" t="e">
        <f ca="1">IF($AZ15&lt;6,0,VLOOKUP($C17,'4.2'!$A$4:$F$11,AO$2,FALSE)*AO15)</f>
        <v>#N/A</v>
      </c>
      <c r="AP17" s="22" t="e">
        <f ca="1">IF($AZ15&lt;6,0,VLOOKUP($C17,'4.2'!$A$4:$F$11,AP$2,FALSE)*AP15)</f>
        <v>#N/A</v>
      </c>
      <c r="AQ17" s="22" t="e">
        <f ca="1">IF($AZ15&lt;6,0,VLOOKUP($C17,'4.2'!$A$4:$F$11,AQ$2,FALSE)*AQ15)</f>
        <v>#N/A</v>
      </c>
      <c r="AR17" s="22" t="e">
        <f ca="1">IF($AZ15&lt;6,0,VLOOKUP($C17,'4.2'!$A$4:$F$11,AR$2,FALSE)*AR15)</f>
        <v>#N/A</v>
      </c>
      <c r="AS17" s="22" t="e">
        <f ca="1">IF($AZ15&lt;6,0,VLOOKUP($C17,'4.2'!$A$4:$F$11,AS$2,FALSE)*AS15)</f>
        <v>#N/A</v>
      </c>
      <c r="AT17" s="22" t="e">
        <f ca="1">IF($AZ15&lt;6,0,VLOOKUP($C17,'4.2'!$A$4:$F$11,AT$2,FALSE)*AT15)</f>
        <v>#N/A</v>
      </c>
      <c r="AU17" s="22" t="e">
        <f ca="1">IF($AZ15&lt;6,0,VLOOKUP($C17,'4.2'!$A$4:$F$11,AU$2,FALSE)*AU15)</f>
        <v>#N/A</v>
      </c>
      <c r="AV17" s="22" t="e">
        <f ca="1">IF($AZ15&lt;6,0,VLOOKUP($C17,'4.2'!$A$4:$F$11,AV$2,FALSE)*AV15)</f>
        <v>#N/A</v>
      </c>
      <c r="AW17" s="22" t="e">
        <f ca="1">IF($AZ15&lt;6,0,VLOOKUP($C17,'4.2'!$A$4:$F$11,AW$2,FALSE)*AW15)</f>
        <v>#N/A</v>
      </c>
      <c r="AX17" s="22" t="e">
        <f ca="1">IF($AZ15&lt;6,0,VLOOKUP($C17,'4.2'!$A$4:$F$11,AX$2,FALSE)*AX15)</f>
        <v>#N/A</v>
      </c>
      <c r="AY17" s="22" t="e">
        <f ca="1">IF($AZ15&lt;6,0,VLOOKUP($C17,'4.2'!$A$4:$F$11,AY$2,FALSE)*AY15)</f>
        <v>#N/A</v>
      </c>
      <c r="AZ17" s="446" t="e">
        <f t="shared" ref="AZ17:AZ18" ca="1" si="15">SUM(D17:AY17)</f>
        <v>#N/A</v>
      </c>
    </row>
    <row r="18" spans="1:77">
      <c r="A18">
        <f t="shared" si="14"/>
        <v>0</v>
      </c>
      <c r="B18" s="3" t="s">
        <v>15</v>
      </c>
      <c r="C18" t="s">
        <v>82</v>
      </c>
      <c r="D18" s="22">
        <f ca="1">'4.2'!$B$11/12*D15</f>
        <v>0</v>
      </c>
      <c r="E18" s="22">
        <f ca="1">'4.2'!$B$11/12*E15</f>
        <v>0</v>
      </c>
      <c r="F18" s="22" t="e">
        <f ca="1">'4.2'!$B$11/12*F15</f>
        <v>#N/A</v>
      </c>
      <c r="G18" s="22" t="e">
        <f ca="1">'4.2'!$B$11/12*G15</f>
        <v>#N/A</v>
      </c>
      <c r="H18" s="22" t="e">
        <f ca="1">'4.2'!$B$11/12*H15</f>
        <v>#N/A</v>
      </c>
      <c r="I18" s="22" t="e">
        <f ca="1">'4.2'!$B$11/12*I15</f>
        <v>#N/A</v>
      </c>
      <c r="J18" s="22" t="e">
        <f ca="1">'4.2'!$B$11/12*J15</f>
        <v>#N/A</v>
      </c>
      <c r="K18" s="22" t="e">
        <f ca="1">'4.2'!$B$11/12*K15</f>
        <v>#N/A</v>
      </c>
      <c r="L18" s="22" t="e">
        <f ca="1">'4.2'!$B$11/12*L15</f>
        <v>#N/A</v>
      </c>
      <c r="M18" s="22" t="e">
        <f ca="1">'4.2'!$B$11/12*M15</f>
        <v>#N/A</v>
      </c>
      <c r="N18" s="22" t="e">
        <f ca="1">'4.2'!$B$11/12*N15</f>
        <v>#N/A</v>
      </c>
      <c r="O18" s="22" t="e">
        <f ca="1">'4.2'!$B$11/12*O15</f>
        <v>#N/A</v>
      </c>
      <c r="P18" s="22" t="e">
        <f ca="1">'4.2'!$B$11/12*P15</f>
        <v>#N/A</v>
      </c>
      <c r="Q18" s="22" t="e">
        <f ca="1">'4.2'!$B$11/12*Q15</f>
        <v>#N/A</v>
      </c>
      <c r="R18" s="22" t="e">
        <f ca="1">'4.2'!$B$11/12*R15</f>
        <v>#N/A</v>
      </c>
      <c r="S18" s="22" t="e">
        <f ca="1">'4.2'!$B$11/12*S15</f>
        <v>#N/A</v>
      </c>
      <c r="T18" s="22" t="e">
        <f ca="1">'4.2'!$B$11/12*T15</f>
        <v>#N/A</v>
      </c>
      <c r="U18" s="22" t="e">
        <f ca="1">'4.2'!$B$11/12*U15</f>
        <v>#N/A</v>
      </c>
      <c r="V18" s="22" t="e">
        <f ca="1">'4.2'!$B$11/12*V15</f>
        <v>#N/A</v>
      </c>
      <c r="W18" s="22" t="e">
        <f ca="1">'4.2'!$B$11/12*W15</f>
        <v>#N/A</v>
      </c>
      <c r="X18" s="22" t="e">
        <f ca="1">'4.2'!$B$11/12*X15</f>
        <v>#N/A</v>
      </c>
      <c r="Y18" s="22" t="e">
        <f ca="1">'4.2'!$B$11/12*Y15</f>
        <v>#N/A</v>
      </c>
      <c r="Z18" s="22" t="e">
        <f ca="1">'4.2'!$B$11/12*Z15</f>
        <v>#N/A</v>
      </c>
      <c r="AA18" s="22" t="e">
        <f ca="1">'4.2'!$B$11/12*AA15</f>
        <v>#N/A</v>
      </c>
      <c r="AB18" s="22" t="e">
        <f ca="1">'4.2'!$B$11/12*AB15</f>
        <v>#N/A</v>
      </c>
      <c r="AC18" s="22" t="e">
        <f ca="1">'4.2'!$B$11/12*AC15</f>
        <v>#N/A</v>
      </c>
      <c r="AD18" s="22" t="e">
        <f ca="1">'4.2'!$B$11/12*AD15</f>
        <v>#N/A</v>
      </c>
      <c r="AE18" s="22" t="e">
        <f ca="1">'4.2'!$B$11/12*AE15</f>
        <v>#N/A</v>
      </c>
      <c r="AF18" s="22" t="e">
        <f ca="1">'4.2'!$B$11/12*AF15</f>
        <v>#N/A</v>
      </c>
      <c r="AG18" s="22" t="e">
        <f ca="1">'4.2'!$B$11/12*AG15</f>
        <v>#N/A</v>
      </c>
      <c r="AH18" s="22" t="e">
        <f ca="1">'4.2'!$B$11/12*AH15</f>
        <v>#N/A</v>
      </c>
      <c r="AI18" s="22" t="e">
        <f ca="1">'4.2'!$B$11/12*AI15</f>
        <v>#N/A</v>
      </c>
      <c r="AJ18" s="22" t="e">
        <f ca="1">'4.2'!$B$11/12*AJ15</f>
        <v>#N/A</v>
      </c>
      <c r="AK18" s="22" t="e">
        <f ca="1">'4.2'!$B$11/12*AK15</f>
        <v>#N/A</v>
      </c>
      <c r="AL18" s="22" t="e">
        <f ca="1">'4.2'!$B$11/12*AL15</f>
        <v>#N/A</v>
      </c>
      <c r="AM18" s="22" t="e">
        <f ca="1">'4.2'!$B$11/12*AM15</f>
        <v>#N/A</v>
      </c>
      <c r="AN18" s="22" t="e">
        <f ca="1">'4.2'!$B$11/12*AN15</f>
        <v>#N/A</v>
      </c>
      <c r="AO18" s="22" t="e">
        <f ca="1">'4.2'!$B$11/12*AO15</f>
        <v>#N/A</v>
      </c>
      <c r="AP18" s="22" t="e">
        <f ca="1">'4.2'!$B$11/12*AP15</f>
        <v>#N/A</v>
      </c>
      <c r="AQ18" s="22" t="e">
        <f ca="1">'4.2'!$B$11/12*AQ15</f>
        <v>#N/A</v>
      </c>
      <c r="AR18" s="22" t="e">
        <f ca="1">'4.2'!$B$11/12*AR15</f>
        <v>#N/A</v>
      </c>
      <c r="AS18" s="22" t="e">
        <f ca="1">'4.2'!$B$11/12*AS15</f>
        <v>#N/A</v>
      </c>
      <c r="AT18" s="22" t="e">
        <f ca="1">'4.2'!$B$11/12*AT15</f>
        <v>#N/A</v>
      </c>
      <c r="AU18" s="22" t="e">
        <f ca="1">'4.2'!$B$11/12*AU15</f>
        <v>#N/A</v>
      </c>
      <c r="AV18" s="22" t="e">
        <f ca="1">'4.2'!$B$11/12*AV15</f>
        <v>#N/A</v>
      </c>
      <c r="AW18" s="22" t="e">
        <f ca="1">'4.2'!$B$11/12*AW15</f>
        <v>#N/A</v>
      </c>
      <c r="AX18" s="22" t="e">
        <f ca="1">'4.2'!$B$11/12*AX15</f>
        <v>#N/A</v>
      </c>
      <c r="AY18" s="22" t="e">
        <f ca="1">'4.2'!$B$11/12*AY15</f>
        <v>#N/A</v>
      </c>
      <c r="AZ18" s="446" t="e">
        <f t="shared" ca="1" si="15"/>
        <v>#N/A</v>
      </c>
    </row>
    <row r="19" spans="1:77">
      <c r="A19">
        <f t="shared" si="14"/>
        <v>0</v>
      </c>
      <c r="B19" s="3" t="s">
        <v>15</v>
      </c>
      <c r="C19" t="s">
        <v>83</v>
      </c>
      <c r="D19" s="22">
        <f ca="1">IFERROR(SUM(D15:D18),0)</f>
        <v>0</v>
      </c>
      <c r="E19" s="22">
        <f t="shared" ref="E19:AM19" ca="1" si="16">IFERROR(SUM(E15:E18),0)</f>
        <v>0</v>
      </c>
      <c r="F19" s="22">
        <f t="shared" ca="1" si="16"/>
        <v>0</v>
      </c>
      <c r="G19" s="22">
        <f t="shared" ca="1" si="16"/>
        <v>0</v>
      </c>
      <c r="H19" s="22">
        <f t="shared" ca="1" si="16"/>
        <v>0</v>
      </c>
      <c r="I19" s="22">
        <f t="shared" ca="1" si="16"/>
        <v>0</v>
      </c>
      <c r="J19" s="22">
        <f t="shared" ca="1" si="16"/>
        <v>0</v>
      </c>
      <c r="K19" s="22">
        <f t="shared" ca="1" si="16"/>
        <v>0</v>
      </c>
      <c r="L19" s="22">
        <f t="shared" ca="1" si="16"/>
        <v>0</v>
      </c>
      <c r="M19" s="22">
        <f t="shared" ca="1" si="16"/>
        <v>0</v>
      </c>
      <c r="N19" s="22">
        <f t="shared" ca="1" si="16"/>
        <v>0</v>
      </c>
      <c r="O19" s="22">
        <f t="shared" ca="1" si="16"/>
        <v>0</v>
      </c>
      <c r="P19" s="22">
        <f t="shared" ca="1" si="16"/>
        <v>0</v>
      </c>
      <c r="Q19" s="22">
        <f t="shared" ca="1" si="16"/>
        <v>0</v>
      </c>
      <c r="R19" s="22">
        <f t="shared" ca="1" si="16"/>
        <v>0</v>
      </c>
      <c r="S19" s="22">
        <f t="shared" ca="1" si="16"/>
        <v>0</v>
      </c>
      <c r="T19" s="22">
        <f t="shared" ca="1" si="16"/>
        <v>0</v>
      </c>
      <c r="U19" s="22">
        <f t="shared" ca="1" si="16"/>
        <v>0</v>
      </c>
      <c r="V19" s="22">
        <f t="shared" ca="1" si="16"/>
        <v>0</v>
      </c>
      <c r="W19" s="22">
        <f t="shared" ca="1" si="16"/>
        <v>0</v>
      </c>
      <c r="X19" s="22">
        <f t="shared" ca="1" si="16"/>
        <v>0</v>
      </c>
      <c r="Y19" s="22">
        <f t="shared" ca="1" si="16"/>
        <v>0</v>
      </c>
      <c r="Z19" s="22">
        <f t="shared" ca="1" si="16"/>
        <v>0</v>
      </c>
      <c r="AA19" s="22">
        <f t="shared" ca="1" si="16"/>
        <v>0</v>
      </c>
      <c r="AB19" s="22">
        <f t="shared" ca="1" si="16"/>
        <v>0</v>
      </c>
      <c r="AC19" s="22">
        <f t="shared" ca="1" si="16"/>
        <v>0</v>
      </c>
      <c r="AD19" s="22">
        <f t="shared" ca="1" si="16"/>
        <v>0</v>
      </c>
      <c r="AE19" s="22">
        <f t="shared" ca="1" si="16"/>
        <v>0</v>
      </c>
      <c r="AF19" s="22">
        <f t="shared" ca="1" si="16"/>
        <v>0</v>
      </c>
      <c r="AG19" s="22">
        <f t="shared" ca="1" si="16"/>
        <v>0</v>
      </c>
      <c r="AH19" s="22">
        <f t="shared" ca="1" si="16"/>
        <v>0</v>
      </c>
      <c r="AI19" s="22">
        <f t="shared" ca="1" si="16"/>
        <v>0</v>
      </c>
      <c r="AJ19" s="22">
        <f t="shared" ca="1" si="16"/>
        <v>0</v>
      </c>
      <c r="AK19" s="22">
        <f t="shared" ca="1" si="16"/>
        <v>0</v>
      </c>
      <c r="AL19" s="22">
        <f t="shared" ca="1" si="16"/>
        <v>0</v>
      </c>
      <c r="AM19" s="22">
        <f t="shared" ca="1" si="16"/>
        <v>0</v>
      </c>
      <c r="AN19" s="22">
        <f t="shared" ref="AN19:AY19" ca="1" si="17">IFERROR(SUM(AN15:AN18),0)</f>
        <v>0</v>
      </c>
      <c r="AO19" s="22">
        <f t="shared" ca="1" si="17"/>
        <v>0</v>
      </c>
      <c r="AP19" s="22">
        <f t="shared" ca="1" si="17"/>
        <v>0</v>
      </c>
      <c r="AQ19" s="22">
        <f t="shared" ca="1" si="17"/>
        <v>0</v>
      </c>
      <c r="AR19" s="22">
        <f t="shared" ca="1" si="17"/>
        <v>0</v>
      </c>
      <c r="AS19" s="22">
        <f t="shared" ca="1" si="17"/>
        <v>0</v>
      </c>
      <c r="AT19" s="22">
        <f t="shared" ca="1" si="17"/>
        <v>0</v>
      </c>
      <c r="AU19" s="22">
        <f t="shared" ca="1" si="17"/>
        <v>0</v>
      </c>
      <c r="AV19" s="22">
        <f t="shared" ca="1" si="17"/>
        <v>0</v>
      </c>
      <c r="AW19" s="22">
        <f t="shared" ca="1" si="17"/>
        <v>0</v>
      </c>
      <c r="AX19" s="22">
        <f t="shared" ca="1" si="17"/>
        <v>0</v>
      </c>
      <c r="AY19" s="22">
        <f t="shared" ca="1" si="17"/>
        <v>0</v>
      </c>
      <c r="AZ19" s="446">
        <f ca="1">ROUNDUP(SUM(D19:AY19),0)</f>
        <v>0</v>
      </c>
      <c r="BB19" s="21">
        <f ca="1">IFERROR($AZ19/$BA15*BB15,0)</f>
        <v>0</v>
      </c>
      <c r="BC19" s="21">
        <f t="shared" ref="BC19:BU19" ca="1" si="18">IFERROR($AZ19/$BA15*BC15,0)</f>
        <v>0</v>
      </c>
      <c r="BD19" s="21">
        <f t="shared" ca="1" si="18"/>
        <v>0</v>
      </c>
      <c r="BE19" s="21">
        <f t="shared" ca="1" si="18"/>
        <v>0</v>
      </c>
      <c r="BF19" s="21">
        <f t="shared" ca="1" si="18"/>
        <v>0</v>
      </c>
      <c r="BG19" s="21">
        <f t="shared" ca="1" si="18"/>
        <v>0</v>
      </c>
      <c r="BH19" s="21">
        <f t="shared" ca="1" si="18"/>
        <v>0</v>
      </c>
      <c r="BI19" s="21">
        <f t="shared" ca="1" si="18"/>
        <v>0</v>
      </c>
      <c r="BJ19" s="21">
        <f t="shared" ca="1" si="18"/>
        <v>0</v>
      </c>
      <c r="BK19" s="21">
        <f t="shared" ca="1" si="18"/>
        <v>0</v>
      </c>
      <c r="BL19" s="21">
        <f t="shared" ca="1" si="18"/>
        <v>0</v>
      </c>
      <c r="BM19" s="21">
        <f t="shared" ca="1" si="18"/>
        <v>0</v>
      </c>
      <c r="BN19" s="21">
        <f t="shared" ca="1" si="18"/>
        <v>0</v>
      </c>
      <c r="BO19" s="21">
        <f t="shared" ca="1" si="18"/>
        <v>0</v>
      </c>
      <c r="BP19" s="21">
        <f t="shared" ca="1" si="18"/>
        <v>0</v>
      </c>
      <c r="BQ19" s="21">
        <f t="shared" ca="1" si="18"/>
        <v>0</v>
      </c>
      <c r="BR19" s="21">
        <f t="shared" ca="1" si="18"/>
        <v>0</v>
      </c>
      <c r="BS19" s="21">
        <f t="shared" ca="1" si="18"/>
        <v>0</v>
      </c>
      <c r="BT19" s="21">
        <f t="shared" ca="1" si="18"/>
        <v>0</v>
      </c>
      <c r="BU19" s="21">
        <f t="shared" ca="1" si="18"/>
        <v>0</v>
      </c>
      <c r="BV19" s="446">
        <f ca="1">SUM(D19:O19)</f>
        <v>0</v>
      </c>
      <c r="BW19" s="446">
        <f ca="1">SUM(P19:AA19)</f>
        <v>0</v>
      </c>
      <c r="BX19" s="446">
        <f ca="1">SUM(AB19:AM19)</f>
        <v>0</v>
      </c>
      <c r="BY19" s="446">
        <f ca="1">SUM(AN19:AY19)</f>
        <v>0</v>
      </c>
    </row>
    <row r="20" spans="1:77" s="23" customFormat="1">
      <c r="A20" s="23">
        <f>+'4.Team'!C46</f>
        <v>0</v>
      </c>
      <c r="B20" s="15" t="s">
        <v>16</v>
      </c>
      <c r="C20" s="23" t="s">
        <v>1</v>
      </c>
      <c r="D20" s="24">
        <f ca="1">+'4.Team'!J46</f>
        <v>0</v>
      </c>
      <c r="E20" s="24">
        <f ca="1">+'4.Team'!K46</f>
        <v>0</v>
      </c>
      <c r="F20" s="24" t="e">
        <f ca="1">+'4.Team'!L46</f>
        <v>#N/A</v>
      </c>
      <c r="G20" s="24" t="e">
        <f ca="1">+'4.Team'!M46</f>
        <v>#N/A</v>
      </c>
      <c r="H20" s="24" t="e">
        <f ca="1">+'4.Team'!N46</f>
        <v>#N/A</v>
      </c>
      <c r="I20" s="24" t="e">
        <f ca="1">+'4.Team'!O46</f>
        <v>#N/A</v>
      </c>
      <c r="J20" s="24" t="e">
        <f ca="1">+'4.Team'!P46</f>
        <v>#N/A</v>
      </c>
      <c r="K20" s="24" t="e">
        <f ca="1">+'4.Team'!Q46</f>
        <v>#N/A</v>
      </c>
      <c r="L20" s="24" t="e">
        <f ca="1">+'4.Team'!R46</f>
        <v>#N/A</v>
      </c>
      <c r="M20" s="24" t="e">
        <f ca="1">+'4.Team'!S46</f>
        <v>#N/A</v>
      </c>
      <c r="N20" s="24" t="e">
        <f ca="1">+'4.Team'!T46</f>
        <v>#N/A</v>
      </c>
      <c r="O20" s="24" t="e">
        <f ca="1">+'4.Team'!U46</f>
        <v>#N/A</v>
      </c>
      <c r="P20" s="24" t="e">
        <f ca="1">+'4.Team'!V46</f>
        <v>#N/A</v>
      </c>
      <c r="Q20" s="24" t="e">
        <f ca="1">+'4.Team'!W46</f>
        <v>#N/A</v>
      </c>
      <c r="R20" s="24" t="e">
        <f ca="1">+'4.Team'!X46</f>
        <v>#N/A</v>
      </c>
      <c r="S20" s="24" t="e">
        <f ca="1">+'4.Team'!Y46</f>
        <v>#N/A</v>
      </c>
      <c r="T20" s="24" t="e">
        <f ca="1">+'4.Team'!Z46</f>
        <v>#N/A</v>
      </c>
      <c r="U20" s="24" t="e">
        <f ca="1">+'4.Team'!AA46</f>
        <v>#N/A</v>
      </c>
      <c r="V20" s="24" t="e">
        <f ca="1">+'4.Team'!AB46</f>
        <v>#N/A</v>
      </c>
      <c r="W20" s="24" t="e">
        <f ca="1">+'4.Team'!AC46</f>
        <v>#N/A</v>
      </c>
      <c r="X20" s="24" t="e">
        <f ca="1">+'4.Team'!AD46</f>
        <v>#N/A</v>
      </c>
      <c r="Y20" s="24" t="e">
        <f ca="1">+'4.Team'!AE46</f>
        <v>#N/A</v>
      </c>
      <c r="Z20" s="24" t="e">
        <f ca="1">+'4.Team'!AF46</f>
        <v>#N/A</v>
      </c>
      <c r="AA20" s="24" t="e">
        <f ca="1">+'4.Team'!AG46</f>
        <v>#N/A</v>
      </c>
      <c r="AB20" s="24" t="e">
        <f ca="1">+'4.Team'!AH46</f>
        <v>#N/A</v>
      </c>
      <c r="AC20" s="24" t="e">
        <f ca="1">+'4.Team'!AI46</f>
        <v>#N/A</v>
      </c>
      <c r="AD20" s="24" t="e">
        <f ca="1">+'4.Team'!AJ46</f>
        <v>#N/A</v>
      </c>
      <c r="AE20" s="24" t="e">
        <f ca="1">+'4.Team'!AK46</f>
        <v>#N/A</v>
      </c>
      <c r="AF20" s="24" t="e">
        <f ca="1">+'4.Team'!AL46</f>
        <v>#N/A</v>
      </c>
      <c r="AG20" s="24" t="e">
        <f ca="1">+'4.Team'!AM46</f>
        <v>#N/A</v>
      </c>
      <c r="AH20" s="24" t="e">
        <f ca="1">+'4.Team'!AN46</f>
        <v>#N/A</v>
      </c>
      <c r="AI20" s="24" t="e">
        <f ca="1">+'4.Team'!AO46</f>
        <v>#N/A</v>
      </c>
      <c r="AJ20" s="24" t="e">
        <f ca="1">+'4.Team'!AP46</f>
        <v>#N/A</v>
      </c>
      <c r="AK20" s="24" t="e">
        <f ca="1">+'4.Team'!AQ46</f>
        <v>#N/A</v>
      </c>
      <c r="AL20" s="24" t="e">
        <f ca="1">+'4.Team'!AR46</f>
        <v>#N/A</v>
      </c>
      <c r="AM20" s="24" t="e">
        <f ca="1">+'4.Team'!AS46</f>
        <v>#N/A</v>
      </c>
      <c r="AN20" s="24" t="e">
        <f ca="1">+'4.Team'!AT46</f>
        <v>#N/A</v>
      </c>
      <c r="AO20" s="24" t="e">
        <f ca="1">+'4.Team'!AU46</f>
        <v>#N/A</v>
      </c>
      <c r="AP20" s="24" t="e">
        <f ca="1">+'4.Team'!AV46</f>
        <v>#N/A</v>
      </c>
      <c r="AQ20" s="24" t="e">
        <f ca="1">+'4.Team'!AW46</f>
        <v>#N/A</v>
      </c>
      <c r="AR20" s="24" t="e">
        <f ca="1">+'4.Team'!AX46</f>
        <v>#N/A</v>
      </c>
      <c r="AS20" s="24" t="e">
        <f ca="1">+'4.Team'!AY46</f>
        <v>#N/A</v>
      </c>
      <c r="AT20" s="24" t="e">
        <f ca="1">+'4.Team'!AZ46</f>
        <v>#N/A</v>
      </c>
      <c r="AU20" s="24" t="e">
        <f ca="1">+'4.Team'!BA46</f>
        <v>#N/A</v>
      </c>
      <c r="AV20" s="24" t="e">
        <f ca="1">+'4.Team'!BB46</f>
        <v>#N/A</v>
      </c>
      <c r="AW20" s="24" t="e">
        <f ca="1">+'4.Team'!BC46</f>
        <v>#N/A</v>
      </c>
      <c r="AX20" s="24" t="e">
        <f ca="1">+'4.Team'!BD46</f>
        <v>#N/A</v>
      </c>
      <c r="AY20" s="24" t="e">
        <f ca="1">+'4.Team'!BE46</f>
        <v>#N/A</v>
      </c>
      <c r="AZ20" s="23" t="e">
        <f ca="1">SUM(D20:AY20)</f>
        <v>#N/A</v>
      </c>
      <c r="BA20" s="23">
        <f>+'4.Team'!I46</f>
        <v>0</v>
      </c>
      <c r="BB20" s="23">
        <f>+'4.Team'!BF46</f>
        <v>0</v>
      </c>
      <c r="BC20" s="23">
        <f>+'4.Team'!BG46</f>
        <v>0</v>
      </c>
      <c r="BD20" s="23">
        <f>+'4.Team'!BH46</f>
        <v>0</v>
      </c>
      <c r="BE20" s="23">
        <f>+'4.Team'!BI46</f>
        <v>0</v>
      </c>
      <c r="BF20" s="23">
        <f>+'4.Team'!BJ46</f>
        <v>0</v>
      </c>
      <c r="BG20" s="23">
        <f>+'4.Team'!BK46</f>
        <v>0</v>
      </c>
      <c r="BH20" s="23">
        <f>+'4.Team'!BL46</f>
        <v>0</v>
      </c>
      <c r="BI20" s="23">
        <f>+'4.Team'!BM46</f>
        <v>0</v>
      </c>
      <c r="BJ20" s="23">
        <f>+'4.Team'!BN46</f>
        <v>0</v>
      </c>
      <c r="BK20" s="23">
        <f>+'4.Team'!BO46</f>
        <v>0</v>
      </c>
      <c r="BL20" s="23">
        <f>+'4.Team'!BP46</f>
        <v>0</v>
      </c>
      <c r="BM20" s="23">
        <f>+'4.Team'!BQ46</f>
        <v>0</v>
      </c>
      <c r="BN20" s="23">
        <f>+'4.Team'!BR46</f>
        <v>0</v>
      </c>
      <c r="BO20" s="23">
        <f>+'4.Team'!BS46</f>
        <v>0</v>
      </c>
      <c r="BP20" s="23">
        <f>+'4.Team'!BT46</f>
        <v>0</v>
      </c>
      <c r="BQ20" s="23">
        <f>+'4.Team'!BU46</f>
        <v>0</v>
      </c>
      <c r="BR20" s="23">
        <f>+'4.Team'!BV46</f>
        <v>0</v>
      </c>
      <c r="BS20" s="23">
        <f>+'4.Team'!BW46</f>
        <v>0</v>
      </c>
      <c r="BT20" s="23">
        <f>+'4.Team'!BX46</f>
        <v>0</v>
      </c>
      <c r="BU20" s="23">
        <f>+'4.Team'!BY46</f>
        <v>0</v>
      </c>
    </row>
    <row r="21" spans="1:77">
      <c r="A21">
        <f>+A20</f>
        <v>0</v>
      </c>
      <c r="B21" s="3" t="s">
        <v>16</v>
      </c>
      <c r="C21" t="s">
        <v>81</v>
      </c>
      <c r="D21" s="22" t="e">
        <f ca="1">VLOOKUP($A21,'4.2'!$A$4:$F$7,D$2,FALSE)*D20</f>
        <v>#N/A</v>
      </c>
      <c r="E21" s="22" t="e">
        <f ca="1">VLOOKUP($A21,'4.2'!$A$4:$F$7,E$2,FALSE)*E20</f>
        <v>#N/A</v>
      </c>
      <c r="F21" s="22" t="e">
        <f ca="1">VLOOKUP($A21,'4.2'!$A$4:$F$7,F$2,FALSE)*F20</f>
        <v>#N/A</v>
      </c>
      <c r="G21" s="22" t="e">
        <f ca="1">VLOOKUP($A21,'4.2'!$A$4:$F$7,G$2,FALSE)*G20</f>
        <v>#N/A</v>
      </c>
      <c r="H21" s="22" t="e">
        <f ca="1">VLOOKUP($A21,'4.2'!$A$4:$F$7,H$2,FALSE)*H20</f>
        <v>#N/A</v>
      </c>
      <c r="I21" s="22" t="e">
        <f ca="1">VLOOKUP($A21,'4.2'!$A$4:$F$7,I$2,FALSE)*I20</f>
        <v>#N/A</v>
      </c>
      <c r="J21" s="22" t="e">
        <f ca="1">VLOOKUP($A21,'4.2'!$A$4:$F$7,J$2,FALSE)*J20</f>
        <v>#N/A</v>
      </c>
      <c r="K21" s="22" t="e">
        <f ca="1">VLOOKUP($A21,'4.2'!$A$4:$F$7,K$2,FALSE)*K20</f>
        <v>#N/A</v>
      </c>
      <c r="L21" s="22" t="e">
        <f ca="1">VLOOKUP($A21,'4.2'!$A$4:$F$7,L$2,FALSE)*L20</f>
        <v>#N/A</v>
      </c>
      <c r="M21" s="22" t="e">
        <f ca="1">VLOOKUP($A21,'4.2'!$A$4:$F$7,M$2,FALSE)*M20</f>
        <v>#N/A</v>
      </c>
      <c r="N21" s="22" t="e">
        <f ca="1">VLOOKUP($A21,'4.2'!$A$4:$F$7,N$2,FALSE)*N20</f>
        <v>#N/A</v>
      </c>
      <c r="O21" s="22" t="e">
        <f ca="1">VLOOKUP($A21,'4.2'!$A$4:$F$7,O$2,FALSE)*O20</f>
        <v>#N/A</v>
      </c>
      <c r="P21" s="22" t="e">
        <f ca="1">VLOOKUP($A21,'4.2'!$A$4:$F$7,P$2,FALSE)*P20</f>
        <v>#N/A</v>
      </c>
      <c r="Q21" s="22" t="e">
        <f ca="1">VLOOKUP($A21,'4.2'!$A$4:$F$7,Q$2,FALSE)*Q20</f>
        <v>#N/A</v>
      </c>
      <c r="R21" s="22" t="e">
        <f ca="1">VLOOKUP($A21,'4.2'!$A$4:$F$7,R$2,FALSE)*R20</f>
        <v>#N/A</v>
      </c>
      <c r="S21" s="22" t="e">
        <f ca="1">VLOOKUP($A21,'4.2'!$A$4:$F$7,S$2,FALSE)*S20</f>
        <v>#N/A</v>
      </c>
      <c r="T21" s="22" t="e">
        <f ca="1">VLOOKUP($A21,'4.2'!$A$4:$F$7,T$2,FALSE)*T20</f>
        <v>#N/A</v>
      </c>
      <c r="U21" s="22" t="e">
        <f ca="1">VLOOKUP($A21,'4.2'!$A$4:$F$7,U$2,FALSE)*U20</f>
        <v>#N/A</v>
      </c>
      <c r="V21" s="22" t="e">
        <f ca="1">VLOOKUP($A21,'4.2'!$A$4:$F$7,V$2,FALSE)*V20</f>
        <v>#N/A</v>
      </c>
      <c r="W21" s="22" t="e">
        <f ca="1">VLOOKUP($A21,'4.2'!$A$4:$F$7,W$2,FALSE)*W20</f>
        <v>#N/A</v>
      </c>
      <c r="X21" s="22" t="e">
        <f ca="1">VLOOKUP($A21,'4.2'!$A$4:$F$7,X$2,FALSE)*X20</f>
        <v>#N/A</v>
      </c>
      <c r="Y21" s="22" t="e">
        <f ca="1">VLOOKUP($A21,'4.2'!$A$4:$F$7,Y$2,FALSE)*Y20</f>
        <v>#N/A</v>
      </c>
      <c r="Z21" s="22" t="e">
        <f ca="1">VLOOKUP($A21,'4.2'!$A$4:$F$7,Z$2,FALSE)*Z20</f>
        <v>#N/A</v>
      </c>
      <c r="AA21" s="22" t="e">
        <f ca="1">VLOOKUP($A21,'4.2'!$A$4:$F$7,AA$2,FALSE)*AA20</f>
        <v>#N/A</v>
      </c>
      <c r="AB21" s="22" t="e">
        <f ca="1">VLOOKUP($A21,'4.2'!$A$4:$F$7,AB$2,FALSE)*AB20</f>
        <v>#N/A</v>
      </c>
      <c r="AC21" s="22" t="e">
        <f ca="1">VLOOKUP($A21,'4.2'!$A$4:$F$7,AC$2,FALSE)*AC20</f>
        <v>#N/A</v>
      </c>
      <c r="AD21" s="22" t="e">
        <f ca="1">VLOOKUP($A21,'4.2'!$A$4:$F$7,AD$2,FALSE)*AD20</f>
        <v>#N/A</v>
      </c>
      <c r="AE21" s="22" t="e">
        <f ca="1">VLOOKUP($A21,'4.2'!$A$4:$F$7,AE$2,FALSE)*AE20</f>
        <v>#N/A</v>
      </c>
      <c r="AF21" s="22" t="e">
        <f ca="1">VLOOKUP($A21,'4.2'!$A$4:$F$7,AF$2,FALSE)*AF20</f>
        <v>#N/A</v>
      </c>
      <c r="AG21" s="22" t="e">
        <f ca="1">VLOOKUP($A21,'4.2'!$A$4:$F$7,AG$2,FALSE)*AG20</f>
        <v>#N/A</v>
      </c>
      <c r="AH21" s="22" t="e">
        <f ca="1">VLOOKUP($A21,'4.2'!$A$4:$F$7,AH$2,FALSE)*AH20</f>
        <v>#N/A</v>
      </c>
      <c r="AI21" s="22" t="e">
        <f ca="1">VLOOKUP($A21,'4.2'!$A$4:$F$7,AI$2,FALSE)*AI20</f>
        <v>#N/A</v>
      </c>
      <c r="AJ21" s="22" t="e">
        <f ca="1">VLOOKUP($A21,'4.2'!$A$4:$F$7,AJ$2,FALSE)*AJ20</f>
        <v>#N/A</v>
      </c>
      <c r="AK21" s="22" t="e">
        <f ca="1">VLOOKUP($A21,'4.2'!$A$4:$F$7,AK$2,FALSE)*AK20</f>
        <v>#N/A</v>
      </c>
      <c r="AL21" s="22" t="e">
        <f ca="1">VLOOKUP($A21,'4.2'!$A$4:$F$7,AL$2,FALSE)*AL20</f>
        <v>#N/A</v>
      </c>
      <c r="AM21" s="22" t="e">
        <f ca="1">VLOOKUP($A21,'4.2'!$A$4:$F$7,AM$2,FALSE)*AM20</f>
        <v>#N/A</v>
      </c>
      <c r="AN21" s="22" t="e">
        <f ca="1">VLOOKUP($A21,'4.2'!$A$4:$F$7,AN$2,FALSE)*AN20</f>
        <v>#N/A</v>
      </c>
      <c r="AO21" s="22" t="e">
        <f ca="1">VLOOKUP($A21,'4.2'!$A$4:$F$7,AO$2,FALSE)*AO20</f>
        <v>#N/A</v>
      </c>
      <c r="AP21" s="22" t="e">
        <f ca="1">VLOOKUP($A21,'4.2'!$A$4:$F$7,AP$2,FALSE)*AP20</f>
        <v>#N/A</v>
      </c>
      <c r="AQ21" s="22" t="e">
        <f ca="1">VLOOKUP($A21,'4.2'!$A$4:$F$7,AQ$2,FALSE)*AQ20</f>
        <v>#N/A</v>
      </c>
      <c r="AR21" s="22" t="e">
        <f ca="1">VLOOKUP($A21,'4.2'!$A$4:$F$7,AR$2,FALSE)*AR20</f>
        <v>#N/A</v>
      </c>
      <c r="AS21" s="22" t="e">
        <f ca="1">VLOOKUP($A21,'4.2'!$A$4:$F$7,AS$2,FALSE)*AS20</f>
        <v>#N/A</v>
      </c>
      <c r="AT21" s="22" t="e">
        <f ca="1">VLOOKUP($A21,'4.2'!$A$4:$F$7,AT$2,FALSE)*AT20</f>
        <v>#N/A</v>
      </c>
      <c r="AU21" s="22" t="e">
        <f ca="1">VLOOKUP($A21,'4.2'!$A$4:$F$7,AU$2,FALSE)*AU20</f>
        <v>#N/A</v>
      </c>
      <c r="AV21" s="22" t="e">
        <f ca="1">VLOOKUP($A21,'4.2'!$A$4:$F$7,AV$2,FALSE)*AV20</f>
        <v>#N/A</v>
      </c>
      <c r="AW21" s="22" t="e">
        <f ca="1">VLOOKUP($A21,'4.2'!$A$4:$F$7,AW$2,FALSE)*AW20</f>
        <v>#N/A</v>
      </c>
      <c r="AX21" s="22" t="e">
        <f ca="1">VLOOKUP($A21,'4.2'!$A$4:$F$7,AX$2,FALSE)*AX20</f>
        <v>#N/A</v>
      </c>
      <c r="AY21" s="22" t="e">
        <f ca="1">VLOOKUP($A21,'4.2'!$A$4:$F$7,AY$2,FALSE)*AY20</f>
        <v>#N/A</v>
      </c>
      <c r="AZ21" s="446" t="e">
        <f ca="1">SUM(D21:AY21)</f>
        <v>#N/A</v>
      </c>
    </row>
    <row r="22" spans="1:77">
      <c r="A22">
        <f t="shared" ref="A22:A24" si="19">+A21</f>
        <v>0</v>
      </c>
      <c r="B22" s="3" t="s">
        <v>16</v>
      </c>
      <c r="C22" t="s">
        <v>79</v>
      </c>
      <c r="D22" s="22" t="e">
        <f ca="1">IF($AZ20&lt;6,0,VLOOKUP($C22,'4.2'!$A$4:$F$11,D$2,FALSE)*D20)</f>
        <v>#N/A</v>
      </c>
      <c r="E22" s="22" t="e">
        <f ca="1">IF($AZ20&lt;6,0,VLOOKUP($C22,'4.2'!$A$4:$F$11,E$2,FALSE)*E20)</f>
        <v>#N/A</v>
      </c>
      <c r="F22" s="22" t="e">
        <f ca="1">IF($AZ20&lt;6,0,VLOOKUP($C22,'4.2'!$A$4:$F$11,F$2,FALSE)*F20)</f>
        <v>#N/A</v>
      </c>
      <c r="G22" s="22" t="e">
        <f ca="1">IF($AZ20&lt;6,0,VLOOKUP($C22,'4.2'!$A$4:$F$11,G$2,FALSE)*G20)</f>
        <v>#N/A</v>
      </c>
      <c r="H22" s="22" t="e">
        <f ca="1">IF($AZ20&lt;6,0,VLOOKUP($C22,'4.2'!$A$4:$F$11,H$2,FALSE)*H20)</f>
        <v>#N/A</v>
      </c>
      <c r="I22" s="22" t="e">
        <f ca="1">IF($AZ20&lt;6,0,VLOOKUP($C22,'4.2'!$A$4:$F$11,I$2,FALSE)*I20)</f>
        <v>#N/A</v>
      </c>
      <c r="J22" s="22" t="e">
        <f ca="1">IF($AZ20&lt;6,0,VLOOKUP($C22,'4.2'!$A$4:$F$11,J$2,FALSE)*J20)</f>
        <v>#N/A</v>
      </c>
      <c r="K22" s="22" t="e">
        <f ca="1">IF($AZ20&lt;6,0,VLOOKUP($C22,'4.2'!$A$4:$F$11,K$2,FALSE)*K20)</f>
        <v>#N/A</v>
      </c>
      <c r="L22" s="22" t="e">
        <f ca="1">IF($AZ20&lt;6,0,VLOOKUP($C22,'4.2'!$A$4:$F$11,L$2,FALSE)*L20)</f>
        <v>#N/A</v>
      </c>
      <c r="M22" s="22" t="e">
        <f ca="1">IF($AZ20&lt;6,0,VLOOKUP($C22,'4.2'!$A$4:$F$11,M$2,FALSE)*M20)</f>
        <v>#N/A</v>
      </c>
      <c r="N22" s="22" t="e">
        <f ca="1">IF($AZ20&lt;6,0,VLOOKUP($C22,'4.2'!$A$4:$F$11,N$2,FALSE)*N20)</f>
        <v>#N/A</v>
      </c>
      <c r="O22" s="22" t="e">
        <f ca="1">IF($AZ20&lt;6,0,VLOOKUP($C22,'4.2'!$A$4:$F$11,O$2,FALSE)*O20)</f>
        <v>#N/A</v>
      </c>
      <c r="P22" s="22" t="e">
        <f ca="1">IF($AZ20&lt;6,0,VLOOKUP($C22,'4.2'!$A$4:$F$11,P$2,FALSE)*P20)</f>
        <v>#N/A</v>
      </c>
      <c r="Q22" s="22" t="e">
        <f ca="1">IF($AZ20&lt;6,0,VLOOKUP($C22,'4.2'!$A$4:$F$11,Q$2,FALSE)*Q20)</f>
        <v>#N/A</v>
      </c>
      <c r="R22" s="22" t="e">
        <f ca="1">IF($AZ20&lt;6,0,VLOOKUP($C22,'4.2'!$A$4:$F$11,R$2,FALSE)*R20)</f>
        <v>#N/A</v>
      </c>
      <c r="S22" s="22" t="e">
        <f ca="1">IF($AZ20&lt;6,0,VLOOKUP($C22,'4.2'!$A$4:$F$11,S$2,FALSE)*S20)</f>
        <v>#N/A</v>
      </c>
      <c r="T22" s="22" t="e">
        <f ca="1">IF($AZ20&lt;6,0,VLOOKUP($C22,'4.2'!$A$4:$F$11,T$2,FALSE)*T20)</f>
        <v>#N/A</v>
      </c>
      <c r="U22" s="22" t="e">
        <f ca="1">IF($AZ20&lt;6,0,VLOOKUP($C22,'4.2'!$A$4:$F$11,U$2,FALSE)*U20)</f>
        <v>#N/A</v>
      </c>
      <c r="V22" s="22" t="e">
        <f ca="1">IF($AZ20&lt;6,0,VLOOKUP($C22,'4.2'!$A$4:$F$11,V$2,FALSE)*V20)</f>
        <v>#N/A</v>
      </c>
      <c r="W22" s="22" t="e">
        <f ca="1">IF($AZ20&lt;6,0,VLOOKUP($C22,'4.2'!$A$4:$F$11,W$2,FALSE)*W20)</f>
        <v>#N/A</v>
      </c>
      <c r="X22" s="22" t="e">
        <f ca="1">IF($AZ20&lt;6,0,VLOOKUP($C22,'4.2'!$A$4:$F$11,X$2,FALSE)*X20)</f>
        <v>#N/A</v>
      </c>
      <c r="Y22" s="22" t="e">
        <f ca="1">IF($AZ20&lt;6,0,VLOOKUP($C22,'4.2'!$A$4:$F$11,Y$2,FALSE)*Y20)</f>
        <v>#N/A</v>
      </c>
      <c r="Z22" s="22" t="e">
        <f ca="1">IF($AZ20&lt;6,0,VLOOKUP($C22,'4.2'!$A$4:$F$11,Z$2,FALSE)*Z20)</f>
        <v>#N/A</v>
      </c>
      <c r="AA22" s="22" t="e">
        <f ca="1">IF($AZ20&lt;6,0,VLOOKUP($C22,'4.2'!$A$4:$F$11,AA$2,FALSE)*AA20)</f>
        <v>#N/A</v>
      </c>
      <c r="AB22" s="22" t="e">
        <f ca="1">IF($AZ20&lt;6,0,VLOOKUP($C22,'4.2'!$A$4:$F$11,AB$2,FALSE)*AB20)</f>
        <v>#N/A</v>
      </c>
      <c r="AC22" s="22" t="e">
        <f ca="1">IF($AZ20&lt;6,0,VLOOKUP($C22,'4.2'!$A$4:$F$11,AC$2,FALSE)*AC20)</f>
        <v>#N/A</v>
      </c>
      <c r="AD22" s="22" t="e">
        <f ca="1">IF($AZ20&lt;6,0,VLOOKUP($C22,'4.2'!$A$4:$F$11,AD$2,FALSE)*AD20)</f>
        <v>#N/A</v>
      </c>
      <c r="AE22" s="22" t="e">
        <f ca="1">IF($AZ20&lt;6,0,VLOOKUP($C22,'4.2'!$A$4:$F$11,AE$2,FALSE)*AE20)</f>
        <v>#N/A</v>
      </c>
      <c r="AF22" s="22" t="e">
        <f ca="1">IF($AZ20&lt;6,0,VLOOKUP($C22,'4.2'!$A$4:$F$11,AF$2,FALSE)*AF20)</f>
        <v>#N/A</v>
      </c>
      <c r="AG22" s="22" t="e">
        <f ca="1">IF($AZ20&lt;6,0,VLOOKUP($C22,'4.2'!$A$4:$F$11,AG$2,FALSE)*AG20)</f>
        <v>#N/A</v>
      </c>
      <c r="AH22" s="22" t="e">
        <f ca="1">IF($AZ20&lt;6,0,VLOOKUP($C22,'4.2'!$A$4:$F$11,AH$2,FALSE)*AH20)</f>
        <v>#N/A</v>
      </c>
      <c r="AI22" s="22" t="e">
        <f ca="1">IF($AZ20&lt;6,0,VLOOKUP($C22,'4.2'!$A$4:$F$11,AI$2,FALSE)*AI20)</f>
        <v>#N/A</v>
      </c>
      <c r="AJ22" s="22" t="e">
        <f ca="1">IF($AZ20&lt;6,0,VLOOKUP($C22,'4.2'!$A$4:$F$11,AJ$2,FALSE)*AJ20)</f>
        <v>#N/A</v>
      </c>
      <c r="AK22" s="22" t="e">
        <f ca="1">IF($AZ20&lt;6,0,VLOOKUP($C22,'4.2'!$A$4:$F$11,AK$2,FALSE)*AK20)</f>
        <v>#N/A</v>
      </c>
      <c r="AL22" s="22" t="e">
        <f ca="1">IF($AZ20&lt;6,0,VLOOKUP($C22,'4.2'!$A$4:$F$11,AL$2,FALSE)*AL20)</f>
        <v>#N/A</v>
      </c>
      <c r="AM22" s="22" t="e">
        <f ca="1">IF($AZ20&lt;6,0,VLOOKUP($C22,'4.2'!$A$4:$F$11,AM$2,FALSE)*AM20)</f>
        <v>#N/A</v>
      </c>
      <c r="AN22" s="22" t="e">
        <f ca="1">IF($AZ20&lt;6,0,VLOOKUP($C22,'4.2'!$A$4:$F$11,AN$2,FALSE)*AN20)</f>
        <v>#N/A</v>
      </c>
      <c r="AO22" s="22" t="e">
        <f ca="1">IF($AZ20&lt;6,0,VLOOKUP($C22,'4.2'!$A$4:$F$11,AO$2,FALSE)*AO20)</f>
        <v>#N/A</v>
      </c>
      <c r="AP22" s="22" t="e">
        <f ca="1">IF($AZ20&lt;6,0,VLOOKUP($C22,'4.2'!$A$4:$F$11,AP$2,FALSE)*AP20)</f>
        <v>#N/A</v>
      </c>
      <c r="AQ22" s="22" t="e">
        <f ca="1">IF($AZ20&lt;6,0,VLOOKUP($C22,'4.2'!$A$4:$F$11,AQ$2,FALSE)*AQ20)</f>
        <v>#N/A</v>
      </c>
      <c r="AR22" s="22" t="e">
        <f ca="1">IF($AZ20&lt;6,0,VLOOKUP($C22,'4.2'!$A$4:$F$11,AR$2,FALSE)*AR20)</f>
        <v>#N/A</v>
      </c>
      <c r="AS22" s="22" t="e">
        <f ca="1">IF($AZ20&lt;6,0,VLOOKUP($C22,'4.2'!$A$4:$F$11,AS$2,FALSE)*AS20)</f>
        <v>#N/A</v>
      </c>
      <c r="AT22" s="22" t="e">
        <f ca="1">IF($AZ20&lt;6,0,VLOOKUP($C22,'4.2'!$A$4:$F$11,AT$2,FALSE)*AT20)</f>
        <v>#N/A</v>
      </c>
      <c r="AU22" s="22" t="e">
        <f ca="1">IF($AZ20&lt;6,0,VLOOKUP($C22,'4.2'!$A$4:$F$11,AU$2,FALSE)*AU20)</f>
        <v>#N/A</v>
      </c>
      <c r="AV22" s="22" t="e">
        <f ca="1">IF($AZ20&lt;6,0,VLOOKUP($C22,'4.2'!$A$4:$F$11,AV$2,FALSE)*AV20)</f>
        <v>#N/A</v>
      </c>
      <c r="AW22" s="22" t="e">
        <f ca="1">IF($AZ20&lt;6,0,VLOOKUP($C22,'4.2'!$A$4:$F$11,AW$2,FALSE)*AW20)</f>
        <v>#N/A</v>
      </c>
      <c r="AX22" s="22" t="e">
        <f ca="1">IF($AZ20&lt;6,0,VLOOKUP($C22,'4.2'!$A$4:$F$11,AX$2,FALSE)*AX20)</f>
        <v>#N/A</v>
      </c>
      <c r="AY22" s="22" t="e">
        <f ca="1">IF($AZ20&lt;6,0,VLOOKUP($C22,'4.2'!$A$4:$F$11,AY$2,FALSE)*AY20)</f>
        <v>#N/A</v>
      </c>
      <c r="AZ22" s="446" t="e">
        <f t="shared" ref="AZ22:AZ23" ca="1" si="20">SUM(D22:AY22)</f>
        <v>#N/A</v>
      </c>
    </row>
    <row r="23" spans="1:77">
      <c r="A23">
        <f t="shared" si="19"/>
        <v>0</v>
      </c>
      <c r="B23" s="3" t="s">
        <v>16</v>
      </c>
      <c r="C23" t="s">
        <v>82</v>
      </c>
      <c r="D23" s="22">
        <f ca="1">'4.2'!$B$11/12*D20</f>
        <v>0</v>
      </c>
      <c r="E23" s="22">
        <f ca="1">'4.2'!$B$11/12*E20</f>
        <v>0</v>
      </c>
      <c r="F23" s="22" t="e">
        <f ca="1">'4.2'!$B$11/12*F20</f>
        <v>#N/A</v>
      </c>
      <c r="G23" s="22" t="e">
        <f ca="1">'4.2'!$B$11/12*G20</f>
        <v>#N/A</v>
      </c>
      <c r="H23" s="22" t="e">
        <f ca="1">'4.2'!$B$11/12*H20</f>
        <v>#N/A</v>
      </c>
      <c r="I23" s="22" t="e">
        <f ca="1">'4.2'!$B$11/12*I20</f>
        <v>#N/A</v>
      </c>
      <c r="J23" s="22" t="e">
        <f ca="1">'4.2'!$B$11/12*J20</f>
        <v>#N/A</v>
      </c>
      <c r="K23" s="22" t="e">
        <f ca="1">'4.2'!$B$11/12*K20</f>
        <v>#N/A</v>
      </c>
      <c r="L23" s="22" t="e">
        <f ca="1">'4.2'!$B$11/12*L20</f>
        <v>#N/A</v>
      </c>
      <c r="M23" s="22" t="e">
        <f ca="1">'4.2'!$B$11/12*M20</f>
        <v>#N/A</v>
      </c>
      <c r="N23" s="22" t="e">
        <f ca="1">'4.2'!$B$11/12*N20</f>
        <v>#N/A</v>
      </c>
      <c r="O23" s="22" t="e">
        <f ca="1">'4.2'!$B$11/12*O20</f>
        <v>#N/A</v>
      </c>
      <c r="P23" s="22" t="e">
        <f ca="1">'4.2'!$B$11/12*P20</f>
        <v>#N/A</v>
      </c>
      <c r="Q23" s="22" t="e">
        <f ca="1">'4.2'!$B$11/12*Q20</f>
        <v>#N/A</v>
      </c>
      <c r="R23" s="22" t="e">
        <f ca="1">'4.2'!$B$11/12*R20</f>
        <v>#N/A</v>
      </c>
      <c r="S23" s="22" t="e">
        <f ca="1">'4.2'!$B$11/12*S20</f>
        <v>#N/A</v>
      </c>
      <c r="T23" s="22" t="e">
        <f ca="1">'4.2'!$B$11/12*T20</f>
        <v>#N/A</v>
      </c>
      <c r="U23" s="22" t="e">
        <f ca="1">'4.2'!$B$11/12*U20</f>
        <v>#N/A</v>
      </c>
      <c r="V23" s="22" t="e">
        <f ca="1">'4.2'!$B$11/12*V20</f>
        <v>#N/A</v>
      </c>
      <c r="W23" s="22" t="e">
        <f ca="1">'4.2'!$B$11/12*W20</f>
        <v>#N/A</v>
      </c>
      <c r="X23" s="22" t="e">
        <f ca="1">'4.2'!$B$11/12*X20</f>
        <v>#N/A</v>
      </c>
      <c r="Y23" s="22" t="e">
        <f ca="1">'4.2'!$B$11/12*Y20</f>
        <v>#N/A</v>
      </c>
      <c r="Z23" s="22" t="e">
        <f ca="1">'4.2'!$B$11/12*Z20</f>
        <v>#N/A</v>
      </c>
      <c r="AA23" s="22" t="e">
        <f ca="1">'4.2'!$B$11/12*AA20</f>
        <v>#N/A</v>
      </c>
      <c r="AB23" s="22" t="e">
        <f ca="1">'4.2'!$B$11/12*AB20</f>
        <v>#N/A</v>
      </c>
      <c r="AC23" s="22" t="e">
        <f ca="1">'4.2'!$B$11/12*AC20</f>
        <v>#N/A</v>
      </c>
      <c r="AD23" s="22" t="e">
        <f ca="1">'4.2'!$B$11/12*AD20</f>
        <v>#N/A</v>
      </c>
      <c r="AE23" s="22" t="e">
        <f ca="1">'4.2'!$B$11/12*AE20</f>
        <v>#N/A</v>
      </c>
      <c r="AF23" s="22" t="e">
        <f ca="1">'4.2'!$B$11/12*AF20</f>
        <v>#N/A</v>
      </c>
      <c r="AG23" s="22" t="e">
        <f ca="1">'4.2'!$B$11/12*AG20</f>
        <v>#N/A</v>
      </c>
      <c r="AH23" s="22" t="e">
        <f ca="1">'4.2'!$B$11/12*AH20</f>
        <v>#N/A</v>
      </c>
      <c r="AI23" s="22" t="e">
        <f ca="1">'4.2'!$B$11/12*AI20</f>
        <v>#N/A</v>
      </c>
      <c r="AJ23" s="22" t="e">
        <f ca="1">'4.2'!$B$11/12*AJ20</f>
        <v>#N/A</v>
      </c>
      <c r="AK23" s="22" t="e">
        <f ca="1">'4.2'!$B$11/12*AK20</f>
        <v>#N/A</v>
      </c>
      <c r="AL23" s="22" t="e">
        <f ca="1">'4.2'!$B$11/12*AL20</f>
        <v>#N/A</v>
      </c>
      <c r="AM23" s="22" t="e">
        <f ca="1">'4.2'!$B$11/12*AM20</f>
        <v>#N/A</v>
      </c>
      <c r="AN23" s="22" t="e">
        <f ca="1">'4.2'!$B$11/12*AN20</f>
        <v>#N/A</v>
      </c>
      <c r="AO23" s="22" t="e">
        <f ca="1">'4.2'!$B$11/12*AO20</f>
        <v>#N/A</v>
      </c>
      <c r="AP23" s="22" t="e">
        <f ca="1">'4.2'!$B$11/12*AP20</f>
        <v>#N/A</v>
      </c>
      <c r="AQ23" s="22" t="e">
        <f ca="1">'4.2'!$B$11/12*AQ20</f>
        <v>#N/A</v>
      </c>
      <c r="AR23" s="22" t="e">
        <f ca="1">'4.2'!$B$11/12*AR20</f>
        <v>#N/A</v>
      </c>
      <c r="AS23" s="22" t="e">
        <f ca="1">'4.2'!$B$11/12*AS20</f>
        <v>#N/A</v>
      </c>
      <c r="AT23" s="22" t="e">
        <f ca="1">'4.2'!$B$11/12*AT20</f>
        <v>#N/A</v>
      </c>
      <c r="AU23" s="22" t="e">
        <f ca="1">'4.2'!$B$11/12*AU20</f>
        <v>#N/A</v>
      </c>
      <c r="AV23" s="22" t="e">
        <f ca="1">'4.2'!$B$11/12*AV20</f>
        <v>#N/A</v>
      </c>
      <c r="AW23" s="22" t="e">
        <f ca="1">'4.2'!$B$11/12*AW20</f>
        <v>#N/A</v>
      </c>
      <c r="AX23" s="22" t="e">
        <f ca="1">'4.2'!$B$11/12*AX20</f>
        <v>#N/A</v>
      </c>
      <c r="AY23" s="22" t="e">
        <f ca="1">'4.2'!$B$11/12*AY20</f>
        <v>#N/A</v>
      </c>
      <c r="AZ23" s="446" t="e">
        <f t="shared" ca="1" si="20"/>
        <v>#N/A</v>
      </c>
    </row>
    <row r="24" spans="1:77">
      <c r="A24">
        <f t="shared" si="19"/>
        <v>0</v>
      </c>
      <c r="B24" s="3" t="s">
        <v>16</v>
      </c>
      <c r="C24" t="s">
        <v>83</v>
      </c>
      <c r="D24" s="22">
        <f ca="1">IFERROR(SUM(D20:D23),0)</f>
        <v>0</v>
      </c>
      <c r="E24" s="22">
        <f t="shared" ref="E24:AM24" ca="1" si="21">IFERROR(SUM(E20:E23),0)</f>
        <v>0</v>
      </c>
      <c r="F24" s="22">
        <f t="shared" ca="1" si="21"/>
        <v>0</v>
      </c>
      <c r="G24" s="22">
        <f t="shared" ca="1" si="21"/>
        <v>0</v>
      </c>
      <c r="H24" s="22">
        <f t="shared" ca="1" si="21"/>
        <v>0</v>
      </c>
      <c r="I24" s="22">
        <f t="shared" ca="1" si="21"/>
        <v>0</v>
      </c>
      <c r="J24" s="22">
        <f t="shared" ca="1" si="21"/>
        <v>0</v>
      </c>
      <c r="K24" s="22">
        <f t="shared" ca="1" si="21"/>
        <v>0</v>
      </c>
      <c r="L24" s="22">
        <f t="shared" ca="1" si="21"/>
        <v>0</v>
      </c>
      <c r="M24" s="22">
        <f t="shared" ca="1" si="21"/>
        <v>0</v>
      </c>
      <c r="N24" s="22">
        <f t="shared" ca="1" si="21"/>
        <v>0</v>
      </c>
      <c r="O24" s="22">
        <f t="shared" ca="1" si="21"/>
        <v>0</v>
      </c>
      <c r="P24" s="22">
        <f t="shared" ca="1" si="21"/>
        <v>0</v>
      </c>
      <c r="Q24" s="22">
        <f t="shared" ca="1" si="21"/>
        <v>0</v>
      </c>
      <c r="R24" s="22">
        <f t="shared" ca="1" si="21"/>
        <v>0</v>
      </c>
      <c r="S24" s="22">
        <f t="shared" ca="1" si="21"/>
        <v>0</v>
      </c>
      <c r="T24" s="22">
        <f t="shared" ca="1" si="21"/>
        <v>0</v>
      </c>
      <c r="U24" s="22">
        <f t="shared" ca="1" si="21"/>
        <v>0</v>
      </c>
      <c r="V24" s="22">
        <f t="shared" ca="1" si="21"/>
        <v>0</v>
      </c>
      <c r="W24" s="22">
        <f t="shared" ca="1" si="21"/>
        <v>0</v>
      </c>
      <c r="X24" s="22">
        <f t="shared" ca="1" si="21"/>
        <v>0</v>
      </c>
      <c r="Y24" s="22">
        <f t="shared" ca="1" si="21"/>
        <v>0</v>
      </c>
      <c r="Z24" s="22">
        <f t="shared" ca="1" si="21"/>
        <v>0</v>
      </c>
      <c r="AA24" s="22">
        <f t="shared" ca="1" si="21"/>
        <v>0</v>
      </c>
      <c r="AB24" s="22">
        <f t="shared" ca="1" si="21"/>
        <v>0</v>
      </c>
      <c r="AC24" s="22">
        <f t="shared" ca="1" si="21"/>
        <v>0</v>
      </c>
      <c r="AD24" s="22">
        <f t="shared" ca="1" si="21"/>
        <v>0</v>
      </c>
      <c r="AE24" s="22">
        <f t="shared" ca="1" si="21"/>
        <v>0</v>
      </c>
      <c r="AF24" s="22">
        <f t="shared" ca="1" si="21"/>
        <v>0</v>
      </c>
      <c r="AG24" s="22">
        <f t="shared" ca="1" si="21"/>
        <v>0</v>
      </c>
      <c r="AH24" s="22">
        <f t="shared" ca="1" si="21"/>
        <v>0</v>
      </c>
      <c r="AI24" s="22">
        <f t="shared" ca="1" si="21"/>
        <v>0</v>
      </c>
      <c r="AJ24" s="22">
        <f t="shared" ca="1" si="21"/>
        <v>0</v>
      </c>
      <c r="AK24" s="22">
        <f t="shared" ca="1" si="21"/>
        <v>0</v>
      </c>
      <c r="AL24" s="22">
        <f t="shared" ca="1" si="21"/>
        <v>0</v>
      </c>
      <c r="AM24" s="22">
        <f t="shared" ca="1" si="21"/>
        <v>0</v>
      </c>
      <c r="AN24" s="22">
        <f t="shared" ref="AN24:AY24" ca="1" si="22">IFERROR(SUM(AN20:AN23),0)</f>
        <v>0</v>
      </c>
      <c r="AO24" s="22">
        <f t="shared" ca="1" si="22"/>
        <v>0</v>
      </c>
      <c r="AP24" s="22">
        <f t="shared" ca="1" si="22"/>
        <v>0</v>
      </c>
      <c r="AQ24" s="22">
        <f t="shared" ca="1" si="22"/>
        <v>0</v>
      </c>
      <c r="AR24" s="22">
        <f t="shared" ca="1" si="22"/>
        <v>0</v>
      </c>
      <c r="AS24" s="22">
        <f t="shared" ca="1" si="22"/>
        <v>0</v>
      </c>
      <c r="AT24" s="22">
        <f t="shared" ca="1" si="22"/>
        <v>0</v>
      </c>
      <c r="AU24" s="22">
        <f t="shared" ca="1" si="22"/>
        <v>0</v>
      </c>
      <c r="AV24" s="22">
        <f t="shared" ca="1" si="22"/>
        <v>0</v>
      </c>
      <c r="AW24" s="22">
        <f t="shared" ca="1" si="22"/>
        <v>0</v>
      </c>
      <c r="AX24" s="22">
        <f t="shared" ca="1" si="22"/>
        <v>0</v>
      </c>
      <c r="AY24" s="22">
        <f t="shared" ca="1" si="22"/>
        <v>0</v>
      </c>
      <c r="AZ24" s="446">
        <f ca="1">ROUNDUP(SUM(D24:AY24),0)</f>
        <v>0</v>
      </c>
      <c r="BB24" s="21">
        <f ca="1">IFERROR($AZ24/$BA20*BB20,0)</f>
        <v>0</v>
      </c>
      <c r="BC24" s="21">
        <f t="shared" ref="BC24:BU24" ca="1" si="23">IFERROR($AZ24/$BA20*BC20,0)</f>
        <v>0</v>
      </c>
      <c r="BD24" s="21">
        <f t="shared" ca="1" si="23"/>
        <v>0</v>
      </c>
      <c r="BE24" s="21">
        <f t="shared" ca="1" si="23"/>
        <v>0</v>
      </c>
      <c r="BF24" s="21">
        <f t="shared" ca="1" si="23"/>
        <v>0</v>
      </c>
      <c r="BG24" s="21">
        <f t="shared" ca="1" si="23"/>
        <v>0</v>
      </c>
      <c r="BH24" s="21">
        <f t="shared" ca="1" si="23"/>
        <v>0</v>
      </c>
      <c r="BI24" s="21">
        <f t="shared" ca="1" si="23"/>
        <v>0</v>
      </c>
      <c r="BJ24" s="21">
        <f t="shared" ca="1" si="23"/>
        <v>0</v>
      </c>
      <c r="BK24" s="21">
        <f t="shared" ca="1" si="23"/>
        <v>0</v>
      </c>
      <c r="BL24" s="21">
        <f t="shared" ca="1" si="23"/>
        <v>0</v>
      </c>
      <c r="BM24" s="21">
        <f t="shared" ca="1" si="23"/>
        <v>0</v>
      </c>
      <c r="BN24" s="21">
        <f t="shared" ca="1" si="23"/>
        <v>0</v>
      </c>
      <c r="BO24" s="21">
        <f t="shared" ca="1" si="23"/>
        <v>0</v>
      </c>
      <c r="BP24" s="21">
        <f t="shared" ca="1" si="23"/>
        <v>0</v>
      </c>
      <c r="BQ24" s="21">
        <f t="shared" ca="1" si="23"/>
        <v>0</v>
      </c>
      <c r="BR24" s="21">
        <f t="shared" ca="1" si="23"/>
        <v>0</v>
      </c>
      <c r="BS24" s="21">
        <f t="shared" ca="1" si="23"/>
        <v>0</v>
      </c>
      <c r="BT24" s="21">
        <f t="shared" ca="1" si="23"/>
        <v>0</v>
      </c>
      <c r="BU24" s="21">
        <f t="shared" ca="1" si="23"/>
        <v>0</v>
      </c>
      <c r="BV24" s="446">
        <f ca="1">SUM(D24:O24)</f>
        <v>0</v>
      </c>
      <c r="BW24" s="446">
        <f ca="1">SUM(P24:AA24)</f>
        <v>0</v>
      </c>
      <c r="BX24" s="446">
        <f ca="1">SUM(AB24:AM24)</f>
        <v>0</v>
      </c>
      <c r="BY24" s="446">
        <f ca="1">SUM(AN24:AY24)</f>
        <v>0</v>
      </c>
    </row>
    <row r="25" spans="1:77" s="23" customFormat="1">
      <c r="A25" s="23">
        <f>+'4.Team'!C47</f>
        <v>0</v>
      </c>
      <c r="B25" s="15" t="s">
        <v>17</v>
      </c>
      <c r="C25" s="23" t="s">
        <v>1</v>
      </c>
      <c r="D25" s="24">
        <f ca="1">+'4.Team'!J47</f>
        <v>0</v>
      </c>
      <c r="E25" s="24">
        <f ca="1">+'4.Team'!K47</f>
        <v>0</v>
      </c>
      <c r="F25" s="24" t="e">
        <f ca="1">+'4.Team'!L47</f>
        <v>#N/A</v>
      </c>
      <c r="G25" s="24" t="e">
        <f ca="1">+'4.Team'!M47</f>
        <v>#N/A</v>
      </c>
      <c r="H25" s="24" t="e">
        <f ca="1">+'4.Team'!N47</f>
        <v>#N/A</v>
      </c>
      <c r="I25" s="24" t="e">
        <f ca="1">+'4.Team'!O47</f>
        <v>#N/A</v>
      </c>
      <c r="J25" s="24" t="e">
        <f ca="1">+'4.Team'!P47</f>
        <v>#N/A</v>
      </c>
      <c r="K25" s="24" t="e">
        <f ca="1">+'4.Team'!Q47</f>
        <v>#N/A</v>
      </c>
      <c r="L25" s="24" t="e">
        <f ca="1">+'4.Team'!R47</f>
        <v>#N/A</v>
      </c>
      <c r="M25" s="24" t="e">
        <f ca="1">+'4.Team'!S47</f>
        <v>#N/A</v>
      </c>
      <c r="N25" s="24" t="e">
        <f ca="1">+'4.Team'!T47</f>
        <v>#N/A</v>
      </c>
      <c r="O25" s="24" t="e">
        <f ca="1">+'4.Team'!U47</f>
        <v>#N/A</v>
      </c>
      <c r="P25" s="24" t="e">
        <f ca="1">+'4.Team'!V47</f>
        <v>#N/A</v>
      </c>
      <c r="Q25" s="24" t="e">
        <f ca="1">+'4.Team'!W47</f>
        <v>#N/A</v>
      </c>
      <c r="R25" s="24" t="e">
        <f ca="1">+'4.Team'!X47</f>
        <v>#N/A</v>
      </c>
      <c r="S25" s="24" t="e">
        <f ca="1">+'4.Team'!Y47</f>
        <v>#N/A</v>
      </c>
      <c r="T25" s="24" t="e">
        <f ca="1">+'4.Team'!Z47</f>
        <v>#N/A</v>
      </c>
      <c r="U25" s="24" t="e">
        <f ca="1">+'4.Team'!AA47</f>
        <v>#N/A</v>
      </c>
      <c r="V25" s="24" t="e">
        <f ca="1">+'4.Team'!AB47</f>
        <v>#N/A</v>
      </c>
      <c r="W25" s="24" t="e">
        <f ca="1">+'4.Team'!AC47</f>
        <v>#N/A</v>
      </c>
      <c r="X25" s="24" t="e">
        <f ca="1">+'4.Team'!AD47</f>
        <v>#N/A</v>
      </c>
      <c r="Y25" s="24" t="e">
        <f ca="1">+'4.Team'!AE47</f>
        <v>#N/A</v>
      </c>
      <c r="Z25" s="24" t="e">
        <f ca="1">+'4.Team'!AF47</f>
        <v>#N/A</v>
      </c>
      <c r="AA25" s="24" t="e">
        <f ca="1">+'4.Team'!AG47</f>
        <v>#N/A</v>
      </c>
      <c r="AB25" s="24" t="e">
        <f ca="1">+'4.Team'!AH47</f>
        <v>#N/A</v>
      </c>
      <c r="AC25" s="24" t="e">
        <f ca="1">+'4.Team'!AI47</f>
        <v>#N/A</v>
      </c>
      <c r="AD25" s="24" t="e">
        <f ca="1">+'4.Team'!AJ47</f>
        <v>#N/A</v>
      </c>
      <c r="AE25" s="24" t="e">
        <f ca="1">+'4.Team'!AK47</f>
        <v>#N/A</v>
      </c>
      <c r="AF25" s="24" t="e">
        <f ca="1">+'4.Team'!AL47</f>
        <v>#N/A</v>
      </c>
      <c r="AG25" s="24" t="e">
        <f ca="1">+'4.Team'!AM47</f>
        <v>#N/A</v>
      </c>
      <c r="AH25" s="24" t="e">
        <f ca="1">+'4.Team'!AN47</f>
        <v>#N/A</v>
      </c>
      <c r="AI25" s="24" t="e">
        <f ca="1">+'4.Team'!AO47</f>
        <v>#N/A</v>
      </c>
      <c r="AJ25" s="24" t="e">
        <f ca="1">+'4.Team'!AP47</f>
        <v>#N/A</v>
      </c>
      <c r="AK25" s="24" t="e">
        <f ca="1">+'4.Team'!AQ47</f>
        <v>#N/A</v>
      </c>
      <c r="AL25" s="24" t="e">
        <f ca="1">+'4.Team'!AR47</f>
        <v>#N/A</v>
      </c>
      <c r="AM25" s="24" t="e">
        <f ca="1">+'4.Team'!AS47</f>
        <v>#N/A</v>
      </c>
      <c r="AN25" s="24" t="e">
        <f ca="1">+'4.Team'!AT47</f>
        <v>#N/A</v>
      </c>
      <c r="AO25" s="24" t="e">
        <f ca="1">+'4.Team'!AU47</f>
        <v>#N/A</v>
      </c>
      <c r="AP25" s="24" t="e">
        <f ca="1">+'4.Team'!AV47</f>
        <v>#N/A</v>
      </c>
      <c r="AQ25" s="24" t="e">
        <f ca="1">+'4.Team'!AW47</f>
        <v>#N/A</v>
      </c>
      <c r="AR25" s="24" t="e">
        <f ca="1">+'4.Team'!AX47</f>
        <v>#N/A</v>
      </c>
      <c r="AS25" s="24" t="e">
        <f ca="1">+'4.Team'!AY47</f>
        <v>#N/A</v>
      </c>
      <c r="AT25" s="24" t="e">
        <f ca="1">+'4.Team'!AZ47</f>
        <v>#N/A</v>
      </c>
      <c r="AU25" s="24" t="e">
        <f ca="1">+'4.Team'!BA47</f>
        <v>#N/A</v>
      </c>
      <c r="AV25" s="24" t="e">
        <f ca="1">+'4.Team'!BB47</f>
        <v>#N/A</v>
      </c>
      <c r="AW25" s="24" t="e">
        <f ca="1">+'4.Team'!BC47</f>
        <v>#N/A</v>
      </c>
      <c r="AX25" s="24" t="e">
        <f ca="1">+'4.Team'!BD47</f>
        <v>#N/A</v>
      </c>
      <c r="AY25" s="24" t="e">
        <f ca="1">+'4.Team'!BE47</f>
        <v>#N/A</v>
      </c>
      <c r="AZ25" s="23" t="e">
        <f ca="1">SUM(D25:AY25)</f>
        <v>#N/A</v>
      </c>
      <c r="BA25" s="23">
        <f>+'4.Team'!I47</f>
        <v>0</v>
      </c>
      <c r="BB25" s="23">
        <f>+'4.Team'!BF47</f>
        <v>0</v>
      </c>
      <c r="BC25" s="23">
        <f>+'4.Team'!BG47</f>
        <v>0</v>
      </c>
      <c r="BD25" s="23">
        <f>+'4.Team'!BH47</f>
        <v>0</v>
      </c>
      <c r="BE25" s="23">
        <f>+'4.Team'!BI47</f>
        <v>0</v>
      </c>
      <c r="BF25" s="23">
        <f>+'4.Team'!BJ47</f>
        <v>0</v>
      </c>
      <c r="BG25" s="23">
        <f>+'4.Team'!BK47</f>
        <v>0</v>
      </c>
      <c r="BH25" s="23">
        <f>+'4.Team'!BL47</f>
        <v>0</v>
      </c>
      <c r="BI25" s="23">
        <f>+'4.Team'!BM47</f>
        <v>0</v>
      </c>
      <c r="BJ25" s="23">
        <f>+'4.Team'!BN47</f>
        <v>0</v>
      </c>
      <c r="BK25" s="23">
        <f>+'4.Team'!BO47</f>
        <v>0</v>
      </c>
      <c r="BL25" s="23">
        <f>+'4.Team'!BP47</f>
        <v>0</v>
      </c>
      <c r="BM25" s="23">
        <f>+'4.Team'!BQ47</f>
        <v>0</v>
      </c>
      <c r="BN25" s="23">
        <f>+'4.Team'!BR47</f>
        <v>0</v>
      </c>
      <c r="BO25" s="23">
        <f>+'4.Team'!BS47</f>
        <v>0</v>
      </c>
      <c r="BP25" s="23">
        <f>+'4.Team'!BT47</f>
        <v>0</v>
      </c>
      <c r="BQ25" s="23">
        <f>+'4.Team'!BU47</f>
        <v>0</v>
      </c>
      <c r="BR25" s="23">
        <f>+'4.Team'!BV47</f>
        <v>0</v>
      </c>
      <c r="BS25" s="23">
        <f>+'4.Team'!BW47</f>
        <v>0</v>
      </c>
      <c r="BT25" s="23">
        <f>+'4.Team'!BX47</f>
        <v>0</v>
      </c>
      <c r="BU25" s="23">
        <f>+'4.Team'!BY47</f>
        <v>0</v>
      </c>
    </row>
    <row r="26" spans="1:77">
      <c r="A26">
        <f>+A25</f>
        <v>0</v>
      </c>
      <c r="B26" s="3" t="s">
        <v>17</v>
      </c>
      <c r="C26" t="s">
        <v>81</v>
      </c>
      <c r="D26" s="22" t="e">
        <f ca="1">VLOOKUP($A26,'4.2'!$A$4:$F$7,D$2,FALSE)*D25</f>
        <v>#N/A</v>
      </c>
      <c r="E26" s="22" t="e">
        <f ca="1">VLOOKUP($A26,'4.2'!$A$4:$F$7,E$2,FALSE)*E25</f>
        <v>#N/A</v>
      </c>
      <c r="F26" s="22" t="e">
        <f ca="1">VLOOKUP($A26,'4.2'!$A$4:$F$7,F$2,FALSE)*F25</f>
        <v>#N/A</v>
      </c>
      <c r="G26" s="22" t="e">
        <f ca="1">VLOOKUP($A26,'4.2'!$A$4:$F$7,G$2,FALSE)*G25</f>
        <v>#N/A</v>
      </c>
      <c r="H26" s="22" t="e">
        <f ca="1">VLOOKUP($A26,'4.2'!$A$4:$F$7,H$2,FALSE)*H25</f>
        <v>#N/A</v>
      </c>
      <c r="I26" s="22" t="e">
        <f ca="1">VLOOKUP($A26,'4.2'!$A$4:$F$7,I$2,FALSE)*I25</f>
        <v>#N/A</v>
      </c>
      <c r="J26" s="22" t="e">
        <f ca="1">VLOOKUP($A26,'4.2'!$A$4:$F$7,J$2,FALSE)*J25</f>
        <v>#N/A</v>
      </c>
      <c r="K26" s="22" t="e">
        <f ca="1">VLOOKUP($A26,'4.2'!$A$4:$F$7,K$2,FALSE)*K25</f>
        <v>#N/A</v>
      </c>
      <c r="L26" s="22" t="e">
        <f ca="1">VLOOKUP($A26,'4.2'!$A$4:$F$7,L$2,FALSE)*L25</f>
        <v>#N/A</v>
      </c>
      <c r="M26" s="22" t="e">
        <f ca="1">VLOOKUP($A26,'4.2'!$A$4:$F$7,M$2,FALSE)*M25</f>
        <v>#N/A</v>
      </c>
      <c r="N26" s="22" t="e">
        <f ca="1">VLOOKUP($A26,'4.2'!$A$4:$F$7,N$2,FALSE)*N25</f>
        <v>#N/A</v>
      </c>
      <c r="O26" s="22" t="e">
        <f ca="1">VLOOKUP($A26,'4.2'!$A$4:$F$7,O$2,FALSE)*O25</f>
        <v>#N/A</v>
      </c>
      <c r="P26" s="22" t="e">
        <f ca="1">VLOOKUP($A26,'4.2'!$A$4:$F$7,P$2,FALSE)*P25</f>
        <v>#N/A</v>
      </c>
      <c r="Q26" s="22" t="e">
        <f ca="1">VLOOKUP($A26,'4.2'!$A$4:$F$7,Q$2,FALSE)*Q25</f>
        <v>#N/A</v>
      </c>
      <c r="R26" s="22" t="e">
        <f ca="1">VLOOKUP($A26,'4.2'!$A$4:$F$7,R$2,FALSE)*R25</f>
        <v>#N/A</v>
      </c>
      <c r="S26" s="22" t="e">
        <f ca="1">VLOOKUP($A26,'4.2'!$A$4:$F$7,S$2,FALSE)*S25</f>
        <v>#N/A</v>
      </c>
      <c r="T26" s="22" t="e">
        <f ca="1">VLOOKUP($A26,'4.2'!$A$4:$F$7,T$2,FALSE)*T25</f>
        <v>#N/A</v>
      </c>
      <c r="U26" s="22" t="e">
        <f ca="1">VLOOKUP($A26,'4.2'!$A$4:$F$7,U$2,FALSE)*U25</f>
        <v>#N/A</v>
      </c>
      <c r="V26" s="22" t="e">
        <f ca="1">VLOOKUP($A26,'4.2'!$A$4:$F$7,V$2,FALSE)*V25</f>
        <v>#N/A</v>
      </c>
      <c r="W26" s="22" t="e">
        <f ca="1">VLOOKUP($A26,'4.2'!$A$4:$F$7,W$2,FALSE)*W25</f>
        <v>#N/A</v>
      </c>
      <c r="X26" s="22" t="e">
        <f ca="1">VLOOKUP($A26,'4.2'!$A$4:$F$7,X$2,FALSE)*X25</f>
        <v>#N/A</v>
      </c>
      <c r="Y26" s="22" t="e">
        <f ca="1">VLOOKUP($A26,'4.2'!$A$4:$F$7,Y$2,FALSE)*Y25</f>
        <v>#N/A</v>
      </c>
      <c r="Z26" s="22" t="e">
        <f ca="1">VLOOKUP($A26,'4.2'!$A$4:$F$7,Z$2,FALSE)*Z25</f>
        <v>#N/A</v>
      </c>
      <c r="AA26" s="22" t="e">
        <f ca="1">VLOOKUP($A26,'4.2'!$A$4:$F$7,AA$2,FALSE)*AA25</f>
        <v>#N/A</v>
      </c>
      <c r="AB26" s="22" t="e">
        <f ca="1">VLOOKUP($A26,'4.2'!$A$4:$F$7,AB$2,FALSE)*AB25</f>
        <v>#N/A</v>
      </c>
      <c r="AC26" s="22" t="e">
        <f ca="1">VLOOKUP($A26,'4.2'!$A$4:$F$7,AC$2,FALSE)*AC25</f>
        <v>#N/A</v>
      </c>
      <c r="AD26" s="22" t="e">
        <f ca="1">VLOOKUP($A26,'4.2'!$A$4:$F$7,AD$2,FALSE)*AD25</f>
        <v>#N/A</v>
      </c>
      <c r="AE26" s="22" t="e">
        <f ca="1">VLOOKUP($A26,'4.2'!$A$4:$F$7,AE$2,FALSE)*AE25</f>
        <v>#N/A</v>
      </c>
      <c r="AF26" s="22" t="e">
        <f ca="1">VLOOKUP($A26,'4.2'!$A$4:$F$7,AF$2,FALSE)*AF25</f>
        <v>#N/A</v>
      </c>
      <c r="AG26" s="22" t="e">
        <f ca="1">VLOOKUP($A26,'4.2'!$A$4:$F$7,AG$2,FALSE)*AG25</f>
        <v>#N/A</v>
      </c>
      <c r="AH26" s="22" t="e">
        <f ca="1">VLOOKUP($A26,'4.2'!$A$4:$F$7,AH$2,FALSE)*AH25</f>
        <v>#N/A</v>
      </c>
      <c r="AI26" s="22" t="e">
        <f ca="1">VLOOKUP($A26,'4.2'!$A$4:$F$7,AI$2,FALSE)*AI25</f>
        <v>#N/A</v>
      </c>
      <c r="AJ26" s="22" t="e">
        <f ca="1">VLOOKUP($A26,'4.2'!$A$4:$F$7,AJ$2,FALSE)*AJ25</f>
        <v>#N/A</v>
      </c>
      <c r="AK26" s="22" t="e">
        <f ca="1">VLOOKUP($A26,'4.2'!$A$4:$F$7,AK$2,FALSE)*AK25</f>
        <v>#N/A</v>
      </c>
      <c r="AL26" s="22" t="e">
        <f ca="1">VLOOKUP($A26,'4.2'!$A$4:$F$7,AL$2,FALSE)*AL25</f>
        <v>#N/A</v>
      </c>
      <c r="AM26" s="22" t="e">
        <f ca="1">VLOOKUP($A26,'4.2'!$A$4:$F$7,AM$2,FALSE)*AM25</f>
        <v>#N/A</v>
      </c>
      <c r="AN26" s="22" t="e">
        <f ca="1">VLOOKUP($A26,'4.2'!$A$4:$F$7,AN$2,FALSE)*AN25</f>
        <v>#N/A</v>
      </c>
      <c r="AO26" s="22" t="e">
        <f ca="1">VLOOKUP($A26,'4.2'!$A$4:$F$7,AO$2,FALSE)*AO25</f>
        <v>#N/A</v>
      </c>
      <c r="AP26" s="22" t="e">
        <f ca="1">VLOOKUP($A26,'4.2'!$A$4:$F$7,AP$2,FALSE)*AP25</f>
        <v>#N/A</v>
      </c>
      <c r="AQ26" s="22" t="e">
        <f ca="1">VLOOKUP($A26,'4.2'!$A$4:$F$7,AQ$2,FALSE)*AQ25</f>
        <v>#N/A</v>
      </c>
      <c r="AR26" s="22" t="e">
        <f ca="1">VLOOKUP($A26,'4.2'!$A$4:$F$7,AR$2,FALSE)*AR25</f>
        <v>#N/A</v>
      </c>
      <c r="AS26" s="22" t="e">
        <f ca="1">VLOOKUP($A26,'4.2'!$A$4:$F$7,AS$2,FALSE)*AS25</f>
        <v>#N/A</v>
      </c>
      <c r="AT26" s="22" t="e">
        <f ca="1">VLOOKUP($A26,'4.2'!$A$4:$F$7,AT$2,FALSE)*AT25</f>
        <v>#N/A</v>
      </c>
      <c r="AU26" s="22" t="e">
        <f ca="1">VLOOKUP($A26,'4.2'!$A$4:$F$7,AU$2,FALSE)*AU25</f>
        <v>#N/A</v>
      </c>
      <c r="AV26" s="22" t="e">
        <f ca="1">VLOOKUP($A26,'4.2'!$A$4:$F$7,AV$2,FALSE)*AV25</f>
        <v>#N/A</v>
      </c>
      <c r="AW26" s="22" t="e">
        <f ca="1">VLOOKUP($A26,'4.2'!$A$4:$F$7,AW$2,FALSE)*AW25</f>
        <v>#N/A</v>
      </c>
      <c r="AX26" s="22" t="e">
        <f ca="1">VLOOKUP($A26,'4.2'!$A$4:$F$7,AX$2,FALSE)*AX25</f>
        <v>#N/A</v>
      </c>
      <c r="AY26" s="22" t="e">
        <f ca="1">VLOOKUP($A26,'4.2'!$A$4:$F$7,AY$2,FALSE)*AY25</f>
        <v>#N/A</v>
      </c>
      <c r="AZ26" s="446" t="e">
        <f ca="1">SUM(D26:AY26)</f>
        <v>#N/A</v>
      </c>
    </row>
    <row r="27" spans="1:77">
      <c r="A27">
        <f t="shared" ref="A27:A29" si="24">+A26</f>
        <v>0</v>
      </c>
      <c r="B27" s="3" t="s">
        <v>17</v>
      </c>
      <c r="C27" t="s">
        <v>79</v>
      </c>
      <c r="D27" s="22" t="e">
        <f ca="1">IF($AZ25&lt;6,0,VLOOKUP($C27,'4.2'!$A$4:$F$11,D$2,FALSE)*D25)</f>
        <v>#N/A</v>
      </c>
      <c r="E27" s="22" t="e">
        <f ca="1">IF($AZ25&lt;6,0,VLOOKUP($C27,'4.2'!$A$4:$F$11,E$2,FALSE)*E25)</f>
        <v>#N/A</v>
      </c>
      <c r="F27" s="22" t="e">
        <f ca="1">IF($AZ25&lt;6,0,VLOOKUP($C27,'4.2'!$A$4:$F$11,F$2,FALSE)*F25)</f>
        <v>#N/A</v>
      </c>
      <c r="G27" s="22" t="e">
        <f ca="1">IF($AZ25&lt;6,0,VLOOKUP($C27,'4.2'!$A$4:$F$11,G$2,FALSE)*G25)</f>
        <v>#N/A</v>
      </c>
      <c r="H27" s="22" t="e">
        <f ca="1">IF($AZ25&lt;6,0,VLOOKUP($C27,'4.2'!$A$4:$F$11,H$2,FALSE)*H25)</f>
        <v>#N/A</v>
      </c>
      <c r="I27" s="22" t="e">
        <f ca="1">IF($AZ25&lt;6,0,VLOOKUP($C27,'4.2'!$A$4:$F$11,I$2,FALSE)*I25)</f>
        <v>#N/A</v>
      </c>
      <c r="J27" s="22" t="e">
        <f ca="1">IF($AZ25&lt;6,0,VLOOKUP($C27,'4.2'!$A$4:$F$11,J$2,FALSE)*J25)</f>
        <v>#N/A</v>
      </c>
      <c r="K27" s="22" t="e">
        <f ca="1">IF($AZ25&lt;6,0,VLOOKUP($C27,'4.2'!$A$4:$F$11,K$2,FALSE)*K25)</f>
        <v>#N/A</v>
      </c>
      <c r="L27" s="22" t="e">
        <f ca="1">IF($AZ25&lt;6,0,VLOOKUP($C27,'4.2'!$A$4:$F$11,L$2,FALSE)*L25)</f>
        <v>#N/A</v>
      </c>
      <c r="M27" s="22" t="e">
        <f ca="1">IF($AZ25&lt;6,0,VLOOKUP($C27,'4.2'!$A$4:$F$11,M$2,FALSE)*M25)</f>
        <v>#N/A</v>
      </c>
      <c r="N27" s="22" t="e">
        <f ca="1">IF($AZ25&lt;6,0,VLOOKUP($C27,'4.2'!$A$4:$F$11,N$2,FALSE)*N25)</f>
        <v>#N/A</v>
      </c>
      <c r="O27" s="22" t="e">
        <f ca="1">IF($AZ25&lt;6,0,VLOOKUP($C27,'4.2'!$A$4:$F$11,O$2,FALSE)*O25)</f>
        <v>#N/A</v>
      </c>
      <c r="P27" s="22" t="e">
        <f ca="1">IF($AZ25&lt;6,0,VLOOKUP($C27,'4.2'!$A$4:$F$11,P$2,FALSE)*P25)</f>
        <v>#N/A</v>
      </c>
      <c r="Q27" s="22" t="e">
        <f ca="1">IF($AZ25&lt;6,0,VLOOKUP($C27,'4.2'!$A$4:$F$11,Q$2,FALSE)*Q25)</f>
        <v>#N/A</v>
      </c>
      <c r="R27" s="22" t="e">
        <f ca="1">IF($AZ25&lt;6,0,VLOOKUP($C27,'4.2'!$A$4:$F$11,R$2,FALSE)*R25)</f>
        <v>#N/A</v>
      </c>
      <c r="S27" s="22" t="e">
        <f ca="1">IF($AZ25&lt;6,0,VLOOKUP($C27,'4.2'!$A$4:$F$11,S$2,FALSE)*S25)</f>
        <v>#N/A</v>
      </c>
      <c r="T27" s="22" t="e">
        <f ca="1">IF($AZ25&lt;6,0,VLOOKUP($C27,'4.2'!$A$4:$F$11,T$2,FALSE)*T25)</f>
        <v>#N/A</v>
      </c>
      <c r="U27" s="22" t="e">
        <f ca="1">IF($AZ25&lt;6,0,VLOOKUP($C27,'4.2'!$A$4:$F$11,U$2,FALSE)*U25)</f>
        <v>#N/A</v>
      </c>
      <c r="V27" s="22" t="e">
        <f ca="1">IF($AZ25&lt;6,0,VLOOKUP($C27,'4.2'!$A$4:$F$11,V$2,FALSE)*V25)</f>
        <v>#N/A</v>
      </c>
      <c r="W27" s="22" t="e">
        <f ca="1">IF($AZ25&lt;6,0,VLOOKUP($C27,'4.2'!$A$4:$F$11,W$2,FALSE)*W25)</f>
        <v>#N/A</v>
      </c>
      <c r="X27" s="22" t="e">
        <f ca="1">IF($AZ25&lt;6,0,VLOOKUP($C27,'4.2'!$A$4:$F$11,X$2,FALSE)*X25)</f>
        <v>#N/A</v>
      </c>
      <c r="Y27" s="22" t="e">
        <f ca="1">IF($AZ25&lt;6,0,VLOOKUP($C27,'4.2'!$A$4:$F$11,Y$2,FALSE)*Y25)</f>
        <v>#N/A</v>
      </c>
      <c r="Z27" s="22" t="e">
        <f ca="1">IF($AZ25&lt;6,0,VLOOKUP($C27,'4.2'!$A$4:$F$11,Z$2,FALSE)*Z25)</f>
        <v>#N/A</v>
      </c>
      <c r="AA27" s="22" t="e">
        <f ca="1">IF($AZ25&lt;6,0,VLOOKUP($C27,'4.2'!$A$4:$F$11,AA$2,FALSE)*AA25)</f>
        <v>#N/A</v>
      </c>
      <c r="AB27" s="22" t="e">
        <f ca="1">IF($AZ25&lt;6,0,VLOOKUP($C27,'4.2'!$A$4:$F$11,AB$2,FALSE)*AB25)</f>
        <v>#N/A</v>
      </c>
      <c r="AC27" s="22" t="e">
        <f ca="1">IF($AZ25&lt;6,0,VLOOKUP($C27,'4.2'!$A$4:$F$11,AC$2,FALSE)*AC25)</f>
        <v>#N/A</v>
      </c>
      <c r="AD27" s="22" t="e">
        <f ca="1">IF($AZ25&lt;6,0,VLOOKUP($C27,'4.2'!$A$4:$F$11,AD$2,FALSE)*AD25)</f>
        <v>#N/A</v>
      </c>
      <c r="AE27" s="22" t="e">
        <f ca="1">IF($AZ25&lt;6,0,VLOOKUP($C27,'4.2'!$A$4:$F$11,AE$2,FALSE)*AE25)</f>
        <v>#N/A</v>
      </c>
      <c r="AF27" s="22" t="e">
        <f ca="1">IF($AZ25&lt;6,0,VLOOKUP($C27,'4.2'!$A$4:$F$11,AF$2,FALSE)*AF25)</f>
        <v>#N/A</v>
      </c>
      <c r="AG27" s="22" t="e">
        <f ca="1">IF($AZ25&lt;6,0,VLOOKUP($C27,'4.2'!$A$4:$F$11,AG$2,FALSE)*AG25)</f>
        <v>#N/A</v>
      </c>
      <c r="AH27" s="22" t="e">
        <f ca="1">IF($AZ25&lt;6,0,VLOOKUP($C27,'4.2'!$A$4:$F$11,AH$2,FALSE)*AH25)</f>
        <v>#N/A</v>
      </c>
      <c r="AI27" s="22" t="e">
        <f ca="1">IF($AZ25&lt;6,0,VLOOKUP($C27,'4.2'!$A$4:$F$11,AI$2,FALSE)*AI25)</f>
        <v>#N/A</v>
      </c>
      <c r="AJ27" s="22" t="e">
        <f ca="1">IF($AZ25&lt;6,0,VLOOKUP($C27,'4.2'!$A$4:$F$11,AJ$2,FALSE)*AJ25)</f>
        <v>#N/A</v>
      </c>
      <c r="AK27" s="22" t="e">
        <f ca="1">IF($AZ25&lt;6,0,VLOOKUP($C27,'4.2'!$A$4:$F$11,AK$2,FALSE)*AK25)</f>
        <v>#N/A</v>
      </c>
      <c r="AL27" s="22" t="e">
        <f ca="1">IF($AZ25&lt;6,0,VLOOKUP($C27,'4.2'!$A$4:$F$11,AL$2,FALSE)*AL25)</f>
        <v>#N/A</v>
      </c>
      <c r="AM27" s="22" t="e">
        <f ca="1">IF($AZ25&lt;6,0,VLOOKUP($C27,'4.2'!$A$4:$F$11,AM$2,FALSE)*AM25)</f>
        <v>#N/A</v>
      </c>
      <c r="AN27" s="22" t="e">
        <f ca="1">IF($AZ25&lt;6,0,VLOOKUP($C27,'4.2'!$A$4:$F$11,AN$2,FALSE)*AN25)</f>
        <v>#N/A</v>
      </c>
      <c r="AO27" s="22" t="e">
        <f ca="1">IF($AZ25&lt;6,0,VLOOKUP($C27,'4.2'!$A$4:$F$11,AO$2,FALSE)*AO25)</f>
        <v>#N/A</v>
      </c>
      <c r="AP27" s="22" t="e">
        <f ca="1">IF($AZ25&lt;6,0,VLOOKUP($C27,'4.2'!$A$4:$F$11,AP$2,FALSE)*AP25)</f>
        <v>#N/A</v>
      </c>
      <c r="AQ27" s="22" t="e">
        <f ca="1">IF($AZ25&lt;6,0,VLOOKUP($C27,'4.2'!$A$4:$F$11,AQ$2,FALSE)*AQ25)</f>
        <v>#N/A</v>
      </c>
      <c r="AR27" s="22" t="e">
        <f ca="1">IF($AZ25&lt;6,0,VLOOKUP($C27,'4.2'!$A$4:$F$11,AR$2,FALSE)*AR25)</f>
        <v>#N/A</v>
      </c>
      <c r="AS27" s="22" t="e">
        <f ca="1">IF($AZ25&lt;6,0,VLOOKUP($C27,'4.2'!$A$4:$F$11,AS$2,FALSE)*AS25)</f>
        <v>#N/A</v>
      </c>
      <c r="AT27" s="22" t="e">
        <f ca="1">IF($AZ25&lt;6,0,VLOOKUP($C27,'4.2'!$A$4:$F$11,AT$2,FALSE)*AT25)</f>
        <v>#N/A</v>
      </c>
      <c r="AU27" s="22" t="e">
        <f ca="1">IF($AZ25&lt;6,0,VLOOKUP($C27,'4.2'!$A$4:$F$11,AU$2,FALSE)*AU25)</f>
        <v>#N/A</v>
      </c>
      <c r="AV27" s="22" t="e">
        <f ca="1">IF($AZ25&lt;6,0,VLOOKUP($C27,'4.2'!$A$4:$F$11,AV$2,FALSE)*AV25)</f>
        <v>#N/A</v>
      </c>
      <c r="AW27" s="22" t="e">
        <f ca="1">IF($AZ25&lt;6,0,VLOOKUP($C27,'4.2'!$A$4:$F$11,AW$2,FALSE)*AW25)</f>
        <v>#N/A</v>
      </c>
      <c r="AX27" s="22" t="e">
        <f ca="1">IF($AZ25&lt;6,0,VLOOKUP($C27,'4.2'!$A$4:$F$11,AX$2,FALSE)*AX25)</f>
        <v>#N/A</v>
      </c>
      <c r="AY27" s="22" t="e">
        <f ca="1">IF($AZ25&lt;6,0,VLOOKUP($C27,'4.2'!$A$4:$F$11,AY$2,FALSE)*AY25)</f>
        <v>#N/A</v>
      </c>
      <c r="AZ27" s="446" t="e">
        <f t="shared" ref="AZ27:AZ28" ca="1" si="25">SUM(D27:AY27)</f>
        <v>#N/A</v>
      </c>
    </row>
    <row r="28" spans="1:77">
      <c r="A28">
        <f t="shared" si="24"/>
        <v>0</v>
      </c>
      <c r="B28" s="3" t="s">
        <v>17</v>
      </c>
      <c r="C28" t="s">
        <v>82</v>
      </c>
      <c r="D28" s="22">
        <f ca="1">'4.2'!$B$11/12*D25</f>
        <v>0</v>
      </c>
      <c r="E28" s="22">
        <f ca="1">'4.2'!$B$11/12*E25</f>
        <v>0</v>
      </c>
      <c r="F28" s="22" t="e">
        <f ca="1">'4.2'!$B$11/12*F25</f>
        <v>#N/A</v>
      </c>
      <c r="G28" s="22" t="e">
        <f ca="1">'4.2'!$B$11/12*G25</f>
        <v>#N/A</v>
      </c>
      <c r="H28" s="22" t="e">
        <f ca="1">'4.2'!$B$11/12*H25</f>
        <v>#N/A</v>
      </c>
      <c r="I28" s="22" t="e">
        <f ca="1">'4.2'!$B$11/12*I25</f>
        <v>#N/A</v>
      </c>
      <c r="J28" s="22" t="e">
        <f ca="1">'4.2'!$B$11/12*J25</f>
        <v>#N/A</v>
      </c>
      <c r="K28" s="22" t="e">
        <f ca="1">'4.2'!$B$11/12*K25</f>
        <v>#N/A</v>
      </c>
      <c r="L28" s="22" t="e">
        <f ca="1">'4.2'!$B$11/12*L25</f>
        <v>#N/A</v>
      </c>
      <c r="M28" s="22" t="e">
        <f ca="1">'4.2'!$B$11/12*M25</f>
        <v>#N/A</v>
      </c>
      <c r="N28" s="22" t="e">
        <f ca="1">'4.2'!$B$11/12*N25</f>
        <v>#N/A</v>
      </c>
      <c r="O28" s="22" t="e">
        <f ca="1">'4.2'!$B$11/12*O25</f>
        <v>#N/A</v>
      </c>
      <c r="P28" s="22" t="e">
        <f ca="1">'4.2'!$B$11/12*P25</f>
        <v>#N/A</v>
      </c>
      <c r="Q28" s="22" t="e">
        <f ca="1">'4.2'!$B$11/12*Q25</f>
        <v>#N/A</v>
      </c>
      <c r="R28" s="22" t="e">
        <f ca="1">'4.2'!$B$11/12*R25</f>
        <v>#N/A</v>
      </c>
      <c r="S28" s="22" t="e">
        <f ca="1">'4.2'!$B$11/12*S25</f>
        <v>#N/A</v>
      </c>
      <c r="T28" s="22" t="e">
        <f ca="1">'4.2'!$B$11/12*T25</f>
        <v>#N/A</v>
      </c>
      <c r="U28" s="22" t="e">
        <f ca="1">'4.2'!$B$11/12*U25</f>
        <v>#N/A</v>
      </c>
      <c r="V28" s="22" t="e">
        <f ca="1">'4.2'!$B$11/12*V25</f>
        <v>#N/A</v>
      </c>
      <c r="W28" s="22" t="e">
        <f ca="1">'4.2'!$B$11/12*W25</f>
        <v>#N/A</v>
      </c>
      <c r="X28" s="22" t="e">
        <f ca="1">'4.2'!$B$11/12*X25</f>
        <v>#N/A</v>
      </c>
      <c r="Y28" s="22" t="e">
        <f ca="1">'4.2'!$B$11/12*Y25</f>
        <v>#N/A</v>
      </c>
      <c r="Z28" s="22" t="e">
        <f ca="1">'4.2'!$B$11/12*Z25</f>
        <v>#N/A</v>
      </c>
      <c r="AA28" s="22" t="e">
        <f ca="1">'4.2'!$B$11/12*AA25</f>
        <v>#N/A</v>
      </c>
      <c r="AB28" s="22" t="e">
        <f ca="1">'4.2'!$B$11/12*AB25</f>
        <v>#N/A</v>
      </c>
      <c r="AC28" s="22" t="e">
        <f ca="1">'4.2'!$B$11/12*AC25</f>
        <v>#N/A</v>
      </c>
      <c r="AD28" s="22" t="e">
        <f ca="1">'4.2'!$B$11/12*AD25</f>
        <v>#N/A</v>
      </c>
      <c r="AE28" s="22" t="e">
        <f ca="1">'4.2'!$B$11/12*AE25</f>
        <v>#N/A</v>
      </c>
      <c r="AF28" s="22" t="e">
        <f ca="1">'4.2'!$B$11/12*AF25</f>
        <v>#N/A</v>
      </c>
      <c r="AG28" s="22" t="e">
        <f ca="1">'4.2'!$B$11/12*AG25</f>
        <v>#N/A</v>
      </c>
      <c r="AH28" s="22" t="e">
        <f ca="1">'4.2'!$B$11/12*AH25</f>
        <v>#N/A</v>
      </c>
      <c r="AI28" s="22" t="e">
        <f ca="1">'4.2'!$B$11/12*AI25</f>
        <v>#N/A</v>
      </c>
      <c r="AJ28" s="22" t="e">
        <f ca="1">'4.2'!$B$11/12*AJ25</f>
        <v>#N/A</v>
      </c>
      <c r="AK28" s="22" t="e">
        <f ca="1">'4.2'!$B$11/12*AK25</f>
        <v>#N/A</v>
      </c>
      <c r="AL28" s="22" t="e">
        <f ca="1">'4.2'!$B$11/12*AL25</f>
        <v>#N/A</v>
      </c>
      <c r="AM28" s="22" t="e">
        <f ca="1">'4.2'!$B$11/12*AM25</f>
        <v>#N/A</v>
      </c>
      <c r="AN28" s="22" t="e">
        <f ca="1">'4.2'!$B$11/12*AN25</f>
        <v>#N/A</v>
      </c>
      <c r="AO28" s="22" t="e">
        <f ca="1">'4.2'!$B$11/12*AO25</f>
        <v>#N/A</v>
      </c>
      <c r="AP28" s="22" t="e">
        <f ca="1">'4.2'!$B$11/12*AP25</f>
        <v>#N/A</v>
      </c>
      <c r="AQ28" s="22" t="e">
        <f ca="1">'4.2'!$B$11/12*AQ25</f>
        <v>#N/A</v>
      </c>
      <c r="AR28" s="22" t="e">
        <f ca="1">'4.2'!$B$11/12*AR25</f>
        <v>#N/A</v>
      </c>
      <c r="AS28" s="22" t="e">
        <f ca="1">'4.2'!$B$11/12*AS25</f>
        <v>#N/A</v>
      </c>
      <c r="AT28" s="22" t="e">
        <f ca="1">'4.2'!$B$11/12*AT25</f>
        <v>#N/A</v>
      </c>
      <c r="AU28" s="22" t="e">
        <f ca="1">'4.2'!$B$11/12*AU25</f>
        <v>#N/A</v>
      </c>
      <c r="AV28" s="22" t="e">
        <f ca="1">'4.2'!$B$11/12*AV25</f>
        <v>#N/A</v>
      </c>
      <c r="AW28" s="22" t="e">
        <f ca="1">'4.2'!$B$11/12*AW25</f>
        <v>#N/A</v>
      </c>
      <c r="AX28" s="22" t="e">
        <f ca="1">'4.2'!$B$11/12*AX25</f>
        <v>#N/A</v>
      </c>
      <c r="AY28" s="22" t="e">
        <f ca="1">'4.2'!$B$11/12*AY25</f>
        <v>#N/A</v>
      </c>
      <c r="AZ28" s="446" t="e">
        <f t="shared" ca="1" si="25"/>
        <v>#N/A</v>
      </c>
    </row>
    <row r="29" spans="1:77">
      <c r="A29">
        <f t="shared" si="24"/>
        <v>0</v>
      </c>
      <c r="B29" s="3" t="s">
        <v>17</v>
      </c>
      <c r="C29" t="s">
        <v>83</v>
      </c>
      <c r="D29" s="22">
        <f ca="1">IFERROR(SUM(D25:D28),0)</f>
        <v>0</v>
      </c>
      <c r="E29" s="22">
        <f t="shared" ref="E29:AM29" ca="1" si="26">IFERROR(SUM(E25:E28),0)</f>
        <v>0</v>
      </c>
      <c r="F29" s="22">
        <f t="shared" ca="1" si="26"/>
        <v>0</v>
      </c>
      <c r="G29" s="22">
        <f t="shared" ca="1" si="26"/>
        <v>0</v>
      </c>
      <c r="H29" s="22">
        <f t="shared" ca="1" si="26"/>
        <v>0</v>
      </c>
      <c r="I29" s="22">
        <f t="shared" ca="1" si="26"/>
        <v>0</v>
      </c>
      <c r="J29" s="22">
        <f t="shared" ca="1" si="26"/>
        <v>0</v>
      </c>
      <c r="K29" s="22">
        <f t="shared" ca="1" si="26"/>
        <v>0</v>
      </c>
      <c r="L29" s="22">
        <f t="shared" ca="1" si="26"/>
        <v>0</v>
      </c>
      <c r="M29" s="22">
        <f t="shared" ca="1" si="26"/>
        <v>0</v>
      </c>
      <c r="N29" s="22">
        <f t="shared" ca="1" si="26"/>
        <v>0</v>
      </c>
      <c r="O29" s="22">
        <f t="shared" ca="1" si="26"/>
        <v>0</v>
      </c>
      <c r="P29" s="22">
        <f t="shared" ca="1" si="26"/>
        <v>0</v>
      </c>
      <c r="Q29" s="22">
        <f t="shared" ca="1" si="26"/>
        <v>0</v>
      </c>
      <c r="R29" s="22">
        <f t="shared" ca="1" si="26"/>
        <v>0</v>
      </c>
      <c r="S29" s="22">
        <f t="shared" ca="1" si="26"/>
        <v>0</v>
      </c>
      <c r="T29" s="22">
        <f t="shared" ca="1" si="26"/>
        <v>0</v>
      </c>
      <c r="U29" s="22">
        <f t="shared" ca="1" si="26"/>
        <v>0</v>
      </c>
      <c r="V29" s="22">
        <f t="shared" ca="1" si="26"/>
        <v>0</v>
      </c>
      <c r="W29" s="22">
        <f t="shared" ca="1" si="26"/>
        <v>0</v>
      </c>
      <c r="X29" s="22">
        <f t="shared" ca="1" si="26"/>
        <v>0</v>
      </c>
      <c r="Y29" s="22">
        <f t="shared" ca="1" si="26"/>
        <v>0</v>
      </c>
      <c r="Z29" s="22">
        <f t="shared" ca="1" si="26"/>
        <v>0</v>
      </c>
      <c r="AA29" s="22">
        <f t="shared" ca="1" si="26"/>
        <v>0</v>
      </c>
      <c r="AB29" s="22">
        <f t="shared" ca="1" si="26"/>
        <v>0</v>
      </c>
      <c r="AC29" s="22">
        <f t="shared" ca="1" si="26"/>
        <v>0</v>
      </c>
      <c r="AD29" s="22">
        <f t="shared" ca="1" si="26"/>
        <v>0</v>
      </c>
      <c r="AE29" s="22">
        <f t="shared" ca="1" si="26"/>
        <v>0</v>
      </c>
      <c r="AF29" s="22">
        <f t="shared" ca="1" si="26"/>
        <v>0</v>
      </c>
      <c r="AG29" s="22">
        <f t="shared" ca="1" si="26"/>
        <v>0</v>
      </c>
      <c r="AH29" s="22">
        <f t="shared" ca="1" si="26"/>
        <v>0</v>
      </c>
      <c r="AI29" s="22">
        <f t="shared" ca="1" si="26"/>
        <v>0</v>
      </c>
      <c r="AJ29" s="22">
        <f t="shared" ca="1" si="26"/>
        <v>0</v>
      </c>
      <c r="AK29" s="22">
        <f t="shared" ca="1" si="26"/>
        <v>0</v>
      </c>
      <c r="AL29" s="22">
        <f t="shared" ca="1" si="26"/>
        <v>0</v>
      </c>
      <c r="AM29" s="22">
        <f t="shared" ca="1" si="26"/>
        <v>0</v>
      </c>
      <c r="AN29" s="22">
        <f t="shared" ref="AN29:AY29" ca="1" si="27">IFERROR(SUM(AN25:AN28),0)</f>
        <v>0</v>
      </c>
      <c r="AO29" s="22">
        <f t="shared" ca="1" si="27"/>
        <v>0</v>
      </c>
      <c r="AP29" s="22">
        <f t="shared" ca="1" si="27"/>
        <v>0</v>
      </c>
      <c r="AQ29" s="22">
        <f t="shared" ca="1" si="27"/>
        <v>0</v>
      </c>
      <c r="AR29" s="22">
        <f t="shared" ca="1" si="27"/>
        <v>0</v>
      </c>
      <c r="AS29" s="22">
        <f t="shared" ca="1" si="27"/>
        <v>0</v>
      </c>
      <c r="AT29" s="22">
        <f t="shared" ca="1" si="27"/>
        <v>0</v>
      </c>
      <c r="AU29" s="22">
        <f t="shared" ca="1" si="27"/>
        <v>0</v>
      </c>
      <c r="AV29" s="22">
        <f t="shared" ca="1" si="27"/>
        <v>0</v>
      </c>
      <c r="AW29" s="22">
        <f t="shared" ca="1" si="27"/>
        <v>0</v>
      </c>
      <c r="AX29" s="22">
        <f t="shared" ca="1" si="27"/>
        <v>0</v>
      </c>
      <c r="AY29" s="22">
        <f t="shared" ca="1" si="27"/>
        <v>0</v>
      </c>
      <c r="AZ29" s="446">
        <f ca="1">ROUNDUP(SUM(D29:AY29),0)</f>
        <v>0</v>
      </c>
      <c r="BB29" s="21">
        <f ca="1">IFERROR($AZ29/$BA25*BB25,0)</f>
        <v>0</v>
      </c>
      <c r="BC29" s="21">
        <f t="shared" ref="BC29:BU29" ca="1" si="28">IFERROR($AZ29/$BA25*BC25,0)</f>
        <v>0</v>
      </c>
      <c r="BD29" s="21">
        <f t="shared" ca="1" si="28"/>
        <v>0</v>
      </c>
      <c r="BE29" s="21">
        <f t="shared" ca="1" si="28"/>
        <v>0</v>
      </c>
      <c r="BF29" s="21">
        <f t="shared" ca="1" si="28"/>
        <v>0</v>
      </c>
      <c r="BG29" s="21">
        <f t="shared" ca="1" si="28"/>
        <v>0</v>
      </c>
      <c r="BH29" s="21">
        <f t="shared" ca="1" si="28"/>
        <v>0</v>
      </c>
      <c r="BI29" s="21">
        <f t="shared" ca="1" si="28"/>
        <v>0</v>
      </c>
      <c r="BJ29" s="21">
        <f t="shared" ca="1" si="28"/>
        <v>0</v>
      </c>
      <c r="BK29" s="21">
        <f t="shared" ca="1" si="28"/>
        <v>0</v>
      </c>
      <c r="BL29" s="21">
        <f t="shared" ca="1" si="28"/>
        <v>0</v>
      </c>
      <c r="BM29" s="21">
        <f t="shared" ca="1" si="28"/>
        <v>0</v>
      </c>
      <c r="BN29" s="21">
        <f t="shared" ca="1" si="28"/>
        <v>0</v>
      </c>
      <c r="BO29" s="21">
        <f t="shared" ca="1" si="28"/>
        <v>0</v>
      </c>
      <c r="BP29" s="21">
        <f t="shared" ca="1" si="28"/>
        <v>0</v>
      </c>
      <c r="BQ29" s="21">
        <f t="shared" ca="1" si="28"/>
        <v>0</v>
      </c>
      <c r="BR29" s="21">
        <f t="shared" ca="1" si="28"/>
        <v>0</v>
      </c>
      <c r="BS29" s="21">
        <f t="shared" ca="1" si="28"/>
        <v>0</v>
      </c>
      <c r="BT29" s="21">
        <f t="shared" ca="1" si="28"/>
        <v>0</v>
      </c>
      <c r="BU29" s="21">
        <f t="shared" ca="1" si="28"/>
        <v>0</v>
      </c>
      <c r="BV29" s="446">
        <f ca="1">SUM(D29:O29)</f>
        <v>0</v>
      </c>
      <c r="BW29" s="446">
        <f ca="1">SUM(P29:AA29)</f>
        <v>0</v>
      </c>
      <c r="BX29" s="446">
        <f ca="1">SUM(AB29:AM29)</f>
        <v>0</v>
      </c>
      <c r="BY29" s="446">
        <f ca="1">SUM(AN29:AY29)</f>
        <v>0</v>
      </c>
    </row>
    <row r="30" spans="1:77">
      <c r="A30" t="s">
        <v>86</v>
      </c>
      <c r="BB30" s="449">
        <f ca="1">+BB9+BB14+BB19+BB24+BB29</f>
        <v>0</v>
      </c>
      <c r="BC30" s="449">
        <f t="shared" ref="BC30:BU30" ca="1" si="29">+BC9+BC14+BC19+BC24+BC29</f>
        <v>0</v>
      </c>
      <c r="BD30" s="449">
        <f t="shared" ca="1" si="29"/>
        <v>0</v>
      </c>
      <c r="BE30" s="449">
        <f t="shared" ca="1" si="29"/>
        <v>0</v>
      </c>
      <c r="BF30" s="449">
        <f t="shared" ca="1" si="29"/>
        <v>0</v>
      </c>
      <c r="BG30" s="449">
        <f t="shared" ca="1" si="29"/>
        <v>0</v>
      </c>
      <c r="BH30" s="449">
        <f t="shared" ca="1" si="29"/>
        <v>0</v>
      </c>
      <c r="BI30" s="449">
        <f t="shared" ca="1" si="29"/>
        <v>0</v>
      </c>
      <c r="BJ30" s="449">
        <f t="shared" ca="1" si="29"/>
        <v>0</v>
      </c>
      <c r="BK30" s="449">
        <f t="shared" ca="1" si="29"/>
        <v>0</v>
      </c>
      <c r="BL30" s="449">
        <f t="shared" ca="1" si="29"/>
        <v>0</v>
      </c>
      <c r="BM30" s="449">
        <f t="shared" ca="1" si="29"/>
        <v>0</v>
      </c>
      <c r="BN30" s="449">
        <f t="shared" ca="1" si="29"/>
        <v>0</v>
      </c>
      <c r="BO30" s="449">
        <f t="shared" ca="1" si="29"/>
        <v>0</v>
      </c>
      <c r="BP30" s="449">
        <f t="shared" ca="1" si="29"/>
        <v>0</v>
      </c>
      <c r="BQ30" s="449">
        <f t="shared" ca="1" si="29"/>
        <v>0</v>
      </c>
      <c r="BR30" s="449">
        <f t="shared" ca="1" si="29"/>
        <v>0</v>
      </c>
      <c r="BS30" s="449">
        <f t="shared" ca="1" si="29"/>
        <v>0</v>
      </c>
      <c r="BT30" s="449">
        <f t="shared" ca="1" si="29"/>
        <v>0</v>
      </c>
      <c r="BU30" s="449">
        <f t="shared" ca="1" si="29"/>
        <v>0</v>
      </c>
    </row>
  </sheetData>
  <sheetProtection algorithmName="SHA-512" hashValue="8R2BnmxCf9fXoucu4HseaDO9Tu2QOqXEOg33Wgts4A0M22eg4yLiMSXV0QolO3n+H2gUQDTkKFErzRW/INCITg==" saltValue="+qIQVLMLvNozmsYNTh5hsg==" spinCount="100000" sheet="1" objects="1" scenarios="1"/>
  <mergeCells count="5">
    <mergeCell ref="BB3:BU3"/>
    <mergeCell ref="D1:O1"/>
    <mergeCell ref="P1:AA1"/>
    <mergeCell ref="AB1:AM1"/>
    <mergeCell ref="AN1:AY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7AE5-EE3A-43C9-BF90-9DEF29321CC2}">
  <sheetPr>
    <tabColor theme="5" tint="-0.249977111117893"/>
    <pageSetUpPr fitToPage="1"/>
  </sheetPr>
  <dimension ref="A1:BE233"/>
  <sheetViews>
    <sheetView zoomScale="70" zoomScaleNormal="70" workbookViewId="0">
      <pane xSplit="1" ySplit="2" topLeftCell="B3" activePane="bottomRight" state="frozen"/>
      <selection activeCell="F22" sqref="F22:J22"/>
      <selection pane="topRight" activeCell="F22" sqref="F22:J22"/>
      <selection pane="bottomLeft" activeCell="F22" sqref="F22:J22"/>
      <selection pane="bottomRight" activeCell="B3" sqref="B3"/>
    </sheetView>
  </sheetViews>
  <sheetFormatPr defaultColWidth="8.88671875" defaultRowHeight="15.05"/>
  <cols>
    <col min="1" max="1" width="7.44140625" style="164" customWidth="1"/>
    <col min="2" max="2" width="47" style="169" customWidth="1"/>
    <col min="3" max="3" width="14.109375" style="169" customWidth="1"/>
    <col min="4" max="4" width="13.109375" style="169" customWidth="1"/>
    <col min="5" max="5" width="11.88671875" style="169" customWidth="1"/>
    <col min="6" max="6" width="9.44140625" style="169" customWidth="1"/>
    <col min="7" max="8" width="16.44140625" style="169" customWidth="1"/>
    <col min="9" max="9" width="14.109375" style="169" customWidth="1"/>
    <col min="10" max="10" width="46.44140625" style="169" hidden="1" customWidth="1"/>
    <col min="11" max="11" width="42.44140625" style="169" hidden="1" customWidth="1"/>
    <col min="12" max="12" width="5" style="169" customWidth="1"/>
    <col min="13" max="31" width="4.88671875" style="169" customWidth="1"/>
    <col min="32" max="32" width="7.109375" style="169" customWidth="1"/>
    <col min="33" max="35" width="15.109375" style="169" customWidth="1"/>
    <col min="36" max="55" width="8.44140625" style="169" hidden="1" customWidth="1"/>
    <col min="56" max="56" width="44.109375" style="169" customWidth="1"/>
    <col min="57" max="57" width="62.44140625" style="169" customWidth="1"/>
    <col min="58" max="16384" width="8.88671875" style="169"/>
  </cols>
  <sheetData>
    <row r="1" spans="1:57" s="160" customFormat="1" ht="35.200000000000003" customHeight="1">
      <c r="A1" s="762" t="s">
        <v>927</v>
      </c>
      <c r="B1" s="762"/>
      <c r="C1" s="762"/>
      <c r="D1" s="762"/>
      <c r="E1" s="762"/>
      <c r="F1" s="762"/>
      <c r="G1" s="762"/>
      <c r="H1" s="762"/>
      <c r="I1" s="763" t="str">
        <f>IF('[2]7.Budget'!N15=0,"",IF('[2]7.Budget'!C41&gt;-20,"","ERROR! Please review non-eligible costs from Contracts and/or Equipments"))</f>
        <v/>
      </c>
      <c r="J1" s="763"/>
      <c r="L1" s="743" t="s">
        <v>686</v>
      </c>
      <c r="M1" s="744"/>
      <c r="N1" s="744"/>
      <c r="O1" s="744"/>
      <c r="P1" s="744"/>
      <c r="Q1" s="744"/>
      <c r="R1" s="744"/>
      <c r="S1" s="744"/>
      <c r="T1" s="744"/>
      <c r="U1" s="744"/>
      <c r="V1" s="744"/>
      <c r="W1" s="744"/>
      <c r="X1" s="744"/>
      <c r="Y1" s="744"/>
      <c r="Z1" s="744"/>
      <c r="AA1" s="744"/>
      <c r="AB1" s="744"/>
      <c r="AC1" s="744"/>
      <c r="AD1" s="744"/>
      <c r="AE1" s="744"/>
      <c r="AF1" s="744"/>
      <c r="AG1" s="765" t="s">
        <v>116</v>
      </c>
      <c r="AH1" s="765"/>
      <c r="AI1" s="766"/>
      <c r="AJ1" s="743" t="s">
        <v>38</v>
      </c>
      <c r="AK1" s="744"/>
      <c r="AL1" s="744"/>
      <c r="AM1" s="744"/>
      <c r="AN1" s="744"/>
      <c r="AO1" s="744"/>
      <c r="AP1" s="744"/>
      <c r="AQ1" s="744"/>
      <c r="AR1" s="744"/>
      <c r="AS1" s="744"/>
      <c r="AT1" s="744"/>
      <c r="AU1" s="744"/>
      <c r="AV1" s="744"/>
      <c r="AW1" s="744"/>
      <c r="AX1" s="744"/>
      <c r="AY1" s="744"/>
      <c r="AZ1" s="744"/>
      <c r="BA1" s="744"/>
      <c r="BB1" s="744"/>
      <c r="BC1" s="744"/>
    </row>
    <row r="2" spans="1:57" s="160" customFormat="1" ht="66.8" customHeight="1" thickBot="1">
      <c r="A2" s="161" t="s">
        <v>325</v>
      </c>
      <c r="B2" s="162" t="s">
        <v>326</v>
      </c>
      <c r="C2" s="163" t="s">
        <v>327</v>
      </c>
      <c r="D2" s="163" t="s">
        <v>328</v>
      </c>
      <c r="E2" s="162" t="s">
        <v>329</v>
      </c>
      <c r="F2" s="162" t="s">
        <v>690</v>
      </c>
      <c r="G2" s="163" t="s">
        <v>330</v>
      </c>
      <c r="H2" s="163" t="s">
        <v>331</v>
      </c>
      <c r="I2" s="162" t="s">
        <v>332</v>
      </c>
      <c r="J2" s="161" t="s">
        <v>333</v>
      </c>
      <c r="K2" s="161" t="s">
        <v>334</v>
      </c>
      <c r="L2" s="294" t="str">
        <f>+'4.Team'!BF2</f>
        <v>S/T</v>
      </c>
      <c r="M2" s="184" t="str">
        <f>+'4.Team'!BG2</f>
        <v>S/T</v>
      </c>
      <c r="N2" s="184" t="str">
        <f>+'4.Team'!BH2</f>
        <v>S/T</v>
      </c>
      <c r="O2" s="184" t="str">
        <f>+'4.Team'!BI2</f>
        <v>S/T</v>
      </c>
      <c r="P2" s="184" t="str">
        <f>+'4.Team'!BJ2</f>
        <v>S/T</v>
      </c>
      <c r="Q2" s="184" t="str">
        <f>+'4.Team'!BK2</f>
        <v>S/T</v>
      </c>
      <c r="R2" s="184" t="str">
        <f>+'4.Team'!BL2</f>
        <v>S/T</v>
      </c>
      <c r="S2" s="184" t="str">
        <f>+'4.Team'!BM2</f>
        <v>S/T</v>
      </c>
      <c r="T2" s="184" t="str">
        <f>+'4.Team'!BN2</f>
        <v>S/T</v>
      </c>
      <c r="U2" s="184" t="str">
        <f>+'4.Team'!BO2</f>
        <v>S/T</v>
      </c>
      <c r="V2" s="184" t="str">
        <f>+'4.Team'!BP2</f>
        <v>S/T</v>
      </c>
      <c r="W2" s="184" t="str">
        <f>+'4.Team'!BQ2</f>
        <v>S/T</v>
      </c>
      <c r="X2" s="184" t="str">
        <f>+'4.Team'!BR2</f>
        <v>S/T</v>
      </c>
      <c r="Y2" s="184" t="str">
        <f>+'4.Team'!BS2</f>
        <v>S/T</v>
      </c>
      <c r="Z2" s="184" t="str">
        <f>+'4.Team'!BT2</f>
        <v>S/T</v>
      </c>
      <c r="AA2" s="184" t="str">
        <f>+'4.Team'!BU2</f>
        <v>S/T</v>
      </c>
      <c r="AB2" s="184" t="str">
        <f>+'4.Team'!BV2</f>
        <v>S/T</v>
      </c>
      <c r="AC2" s="184" t="str">
        <f>+'4.Team'!BW2</f>
        <v>S/T</v>
      </c>
      <c r="AD2" s="184" t="str">
        <f>+'4.Team'!BX2</f>
        <v>S/T</v>
      </c>
      <c r="AE2" s="184" t="str">
        <f>+'4.Team'!BY2</f>
        <v>S/T</v>
      </c>
      <c r="AF2" s="292" t="s">
        <v>109</v>
      </c>
      <c r="AG2" s="207" t="s">
        <v>687</v>
      </c>
      <c r="AH2" s="207" t="s">
        <v>688</v>
      </c>
      <c r="AI2" s="207" t="s">
        <v>842</v>
      </c>
      <c r="AJ2" s="184" t="s">
        <v>18</v>
      </c>
      <c r="AK2" s="184" t="s">
        <v>19</v>
      </c>
      <c r="AL2" s="184" t="s">
        <v>20</v>
      </c>
      <c r="AM2" s="184" t="s">
        <v>21</v>
      </c>
      <c r="AN2" s="184" t="s">
        <v>22</v>
      </c>
      <c r="AO2" s="184" t="s">
        <v>23</v>
      </c>
      <c r="AP2" s="184" t="s">
        <v>24</v>
      </c>
      <c r="AQ2" s="184" t="s">
        <v>25</v>
      </c>
      <c r="AR2" s="184" t="s">
        <v>26</v>
      </c>
      <c r="AS2" s="184" t="s">
        <v>27</v>
      </c>
      <c r="AT2" s="184" t="s">
        <v>28</v>
      </c>
      <c r="AU2" s="184" t="s">
        <v>29</v>
      </c>
      <c r="AV2" s="184" t="s">
        <v>30</v>
      </c>
      <c r="AW2" s="184" t="s">
        <v>31</v>
      </c>
      <c r="AX2" s="184" t="s">
        <v>32</v>
      </c>
      <c r="AY2" s="184" t="s">
        <v>33</v>
      </c>
      <c r="AZ2" s="184" t="s">
        <v>34</v>
      </c>
      <c r="BA2" s="184" t="s">
        <v>35</v>
      </c>
      <c r="BB2" s="184" t="s">
        <v>36</v>
      </c>
      <c r="BC2" s="184" t="s">
        <v>37</v>
      </c>
      <c r="BD2" s="204" t="s">
        <v>334</v>
      </c>
      <c r="BE2" s="204" t="s">
        <v>333</v>
      </c>
    </row>
    <row r="3" spans="1:57" ht="16.55" customHeight="1" thickTop="1">
      <c r="A3" s="164">
        <v>1</v>
      </c>
      <c r="B3" s="476"/>
      <c r="C3" s="166"/>
      <c r="D3" s="167" t="str">
        <f>IF(C3="","",IF('5.Equipments'!$C3&lt;1000.01,1,""))</f>
        <v/>
      </c>
      <c r="E3" s="167" t="str">
        <f>IF(Tabela8[[#This Row],[Amortization Period 
(Years)]]="","",1)</f>
        <v/>
      </c>
      <c r="F3" s="167" t="str">
        <f>IF(Tabela8[[#This Row],[Acquisition Month]]="","",('1.G.Data'!C$14-Tabela8[[#This Row],[Acquisition Month]]+1))</f>
        <v/>
      </c>
      <c r="G3" s="168">
        <f>IF(Tabela8[[#This Row],[imputed months*]]=0,0,Amortizações!O6)</f>
        <v>0</v>
      </c>
      <c r="H3" s="168">
        <f>(Tabela8[[#This Row],[Base Value
(without VAT)*]]-Tabela8[[#This Row],[Eligible Cost
(Value to indicate in the appication) / without VAT]])*1.23</f>
        <v>0</v>
      </c>
      <c r="I3" s="469" t="s">
        <v>0</v>
      </c>
      <c r="J3" s="165"/>
      <c r="K3" s="169" t="str">
        <f>IF(Tabela8[[#This Row],[ EQUIPMENT DESIGNATION]]="","",IF(Tabela8[[#This Row],[Base Value
(without VAT)*]]="","Alert: Fill in Base Value (withhout VAT)",IF(Tabela8[[#This Row],[Institution**]]="","Alert: Fill In Institution",IF(AF3&lt;100%,"Alert: The % of equipment use per task is missing.",""))))</f>
        <v/>
      </c>
      <c r="L3" s="295"/>
      <c r="M3" s="224"/>
      <c r="N3" s="224"/>
      <c r="O3" s="224"/>
      <c r="P3" s="224"/>
      <c r="Q3" s="224"/>
      <c r="R3" s="224"/>
      <c r="S3" s="224"/>
      <c r="T3" s="224"/>
      <c r="U3" s="224"/>
      <c r="V3" s="224"/>
      <c r="W3" s="224"/>
      <c r="X3" s="224"/>
      <c r="Y3" s="224"/>
      <c r="Z3" s="295"/>
      <c r="AA3" s="295"/>
      <c r="AB3" s="295"/>
      <c r="AC3" s="295"/>
      <c r="AD3" s="295"/>
      <c r="AE3" s="295"/>
      <c r="AF3" s="225">
        <f>IF(Tabela8[[#This Row],[Base Value
(without VAT)*]]="",1,((SUM(L3:AE3))))</f>
        <v>1</v>
      </c>
      <c r="AG3" s="208">
        <f>+Tabela8[[#This Row],[Eligible Cost
(Value to indicate in the appication) / without VAT]]*AF3</f>
        <v>0</v>
      </c>
      <c r="AH3" s="208">
        <f>+Tabela8[[#This Row],[Eligible Cost
(Value to indicate in the appication) / without VAT]]-AG3</f>
        <v>0</v>
      </c>
      <c r="AI3" s="208">
        <f>+Tabela8[[#This Row],[Non-Eligible Cost
(5% OH) / Includes VAT at 23% rate]]</f>
        <v>0</v>
      </c>
      <c r="AJ3" s="293">
        <f>+L3*$G3</f>
        <v>0</v>
      </c>
      <c r="AK3" s="293">
        <f t="shared" ref="AK3:BC16" si="0">+M3*$G3</f>
        <v>0</v>
      </c>
      <c r="AL3" s="293">
        <f t="shared" si="0"/>
        <v>0</v>
      </c>
      <c r="AM3" s="293">
        <f t="shared" si="0"/>
        <v>0</v>
      </c>
      <c r="AN3" s="293">
        <f t="shared" si="0"/>
        <v>0</v>
      </c>
      <c r="AO3" s="293">
        <f t="shared" si="0"/>
        <v>0</v>
      </c>
      <c r="AP3" s="293">
        <f t="shared" si="0"/>
        <v>0</v>
      </c>
      <c r="AQ3" s="293">
        <f t="shared" si="0"/>
        <v>0</v>
      </c>
      <c r="AR3" s="293">
        <f t="shared" si="0"/>
        <v>0</v>
      </c>
      <c r="AS3" s="293">
        <f t="shared" si="0"/>
        <v>0</v>
      </c>
      <c r="AT3" s="293">
        <f t="shared" si="0"/>
        <v>0</v>
      </c>
      <c r="AU3" s="293">
        <f t="shared" si="0"/>
        <v>0</v>
      </c>
      <c r="AV3" s="293">
        <f t="shared" si="0"/>
        <v>0</v>
      </c>
      <c r="AW3" s="293">
        <f t="shared" si="0"/>
        <v>0</v>
      </c>
      <c r="AX3" s="293">
        <f t="shared" si="0"/>
        <v>0</v>
      </c>
      <c r="AY3" s="293">
        <f t="shared" si="0"/>
        <v>0</v>
      </c>
      <c r="AZ3" s="293">
        <f t="shared" si="0"/>
        <v>0</v>
      </c>
      <c r="BA3" s="293">
        <f t="shared" si="0"/>
        <v>0</v>
      </c>
      <c r="BB3" s="293">
        <f t="shared" si="0"/>
        <v>0</v>
      </c>
      <c r="BC3" s="293">
        <f t="shared" si="0"/>
        <v>0</v>
      </c>
      <c r="BD3" s="205" t="str">
        <f>+Tabela8[[#This Row],[Alerts:]]</f>
        <v/>
      </c>
      <c r="BE3" s="591"/>
    </row>
    <row r="4" spans="1:57" ht="16.55" customHeight="1">
      <c r="A4" s="164">
        <f>+A3+1</f>
        <v>2</v>
      </c>
      <c r="B4" s="476"/>
      <c r="C4" s="166"/>
      <c r="D4" s="167" t="str">
        <f>IF(C4="","",IF('5.Equipments'!$C4&lt;1000.01,1,""))</f>
        <v/>
      </c>
      <c r="E4" s="167" t="str">
        <f>IF(Tabela8[[#This Row],[Amortization Period 
(Years)]]="","",1)</f>
        <v/>
      </c>
      <c r="F4" s="167" t="str">
        <f>IF(Tabela8[[#This Row],[Acquisition Month]]="","",('1.G.Data'!C$14-Tabela8[[#This Row],[Acquisition Month]]+1))</f>
        <v/>
      </c>
      <c r="G4" s="168">
        <f>IF(Tabela8[[#This Row],[Acquisition Month]]=0,0,Amortizações!O18)</f>
        <v>0</v>
      </c>
      <c r="H4" s="168">
        <f>(Tabela8[[#This Row],[Base Value
(without VAT)*]]-Tabela8[[#This Row],[Eligible Cost
(Value to indicate in the appication) / without VAT]])*1.23</f>
        <v>0</v>
      </c>
      <c r="I4" s="469" t="s">
        <v>0</v>
      </c>
      <c r="J4" s="165"/>
      <c r="K4" s="169" t="str">
        <f>IF(Tabela8[[#This Row],[ EQUIPMENT DESIGNATION]]="","",IF(Tabela8[[#This Row],[Base Value
(without VAT)*]]="","Alert: Fill in Base Value (withhout VAT)",IF(Tabela8[[#This Row],[Institution**]]="","Alert: Fill In Institution",IF(AF4&lt;100%,"Alert: The % of equipment use per task is missing.",""))))</f>
        <v/>
      </c>
      <c r="L4" s="295"/>
      <c r="M4" s="224"/>
      <c r="N4" s="224"/>
      <c r="O4" s="224"/>
      <c r="P4" s="224"/>
      <c r="Q4" s="224"/>
      <c r="R4" s="224"/>
      <c r="S4" s="224"/>
      <c r="T4" s="224"/>
      <c r="U4" s="224"/>
      <c r="V4" s="224"/>
      <c r="W4" s="224"/>
      <c r="X4" s="224"/>
      <c r="Y4" s="224"/>
      <c r="Z4" s="295"/>
      <c r="AA4" s="295"/>
      <c r="AB4" s="295"/>
      <c r="AC4" s="295"/>
      <c r="AD4" s="295"/>
      <c r="AE4" s="295"/>
      <c r="AF4" s="225">
        <f>IF(Tabela8[[#This Row],[Base Value
(without VAT)*]]="",1,((SUM(L4:AE4))))</f>
        <v>1</v>
      </c>
      <c r="AG4" s="208">
        <f>+Tabela8[[#This Row],[Eligible Cost
(Value to indicate in the appication) / without VAT]]*AF4</f>
        <v>0</v>
      </c>
      <c r="AH4" s="208">
        <f>+Tabela8[[#This Row],[Eligible Cost
(Value to indicate in the appication) / without VAT]]-AG4</f>
        <v>0</v>
      </c>
      <c r="AI4" s="208">
        <f>+Tabela8[[#This Row],[Non-Eligible Cost
(5% OH) / Includes VAT at 23% rate]]</f>
        <v>0</v>
      </c>
      <c r="AJ4" s="293">
        <f t="shared" ref="AJ4:AJ22" si="1">+L4*$G4</f>
        <v>0</v>
      </c>
      <c r="AK4" s="293">
        <f t="shared" si="0"/>
        <v>0</v>
      </c>
      <c r="AL4" s="293">
        <f t="shared" si="0"/>
        <v>0</v>
      </c>
      <c r="AM4" s="293">
        <f t="shared" si="0"/>
        <v>0</v>
      </c>
      <c r="AN4" s="293">
        <f t="shared" si="0"/>
        <v>0</v>
      </c>
      <c r="AO4" s="293">
        <f t="shared" si="0"/>
        <v>0</v>
      </c>
      <c r="AP4" s="293">
        <f t="shared" si="0"/>
        <v>0</v>
      </c>
      <c r="AQ4" s="293">
        <f t="shared" si="0"/>
        <v>0</v>
      </c>
      <c r="AR4" s="293">
        <f t="shared" si="0"/>
        <v>0</v>
      </c>
      <c r="AS4" s="293">
        <f t="shared" si="0"/>
        <v>0</v>
      </c>
      <c r="AT4" s="293">
        <f t="shared" si="0"/>
        <v>0</v>
      </c>
      <c r="AU4" s="293">
        <f t="shared" si="0"/>
        <v>0</v>
      </c>
      <c r="AV4" s="293">
        <f t="shared" si="0"/>
        <v>0</v>
      </c>
      <c r="AW4" s="293">
        <f t="shared" si="0"/>
        <v>0</v>
      </c>
      <c r="AX4" s="293">
        <f t="shared" si="0"/>
        <v>0</v>
      </c>
      <c r="AY4" s="293">
        <f t="shared" si="0"/>
        <v>0</v>
      </c>
      <c r="AZ4" s="293">
        <f t="shared" si="0"/>
        <v>0</v>
      </c>
      <c r="BA4" s="293">
        <f t="shared" si="0"/>
        <v>0</v>
      </c>
      <c r="BB4" s="293">
        <f t="shared" si="0"/>
        <v>0</v>
      </c>
      <c r="BC4" s="293">
        <f t="shared" si="0"/>
        <v>0</v>
      </c>
      <c r="BD4" s="206" t="str">
        <f>+Tabela8[[#This Row],[Alerts:]]</f>
        <v/>
      </c>
      <c r="BE4" s="592"/>
    </row>
    <row r="5" spans="1:57" ht="16.55" customHeight="1">
      <c r="A5" s="164">
        <f t="shared" ref="A5:A22" si="2">+A4+1</f>
        <v>3</v>
      </c>
      <c r="B5" s="474"/>
      <c r="C5" s="166"/>
      <c r="D5" s="167" t="str">
        <f>IF(C5="","",IF('5.Equipments'!$C5&lt;1000.01,1,""))</f>
        <v/>
      </c>
      <c r="E5" s="167" t="str">
        <f>IF(Tabela8[[#This Row],[Amortization Period 
(Years)]]="","",1)</f>
        <v/>
      </c>
      <c r="F5" s="167" t="str">
        <f>IF(Tabela8[[#This Row],[Acquisition Month]]="","",('1.G.Data'!C$14-Tabela8[[#This Row],[Acquisition Month]]+1))</f>
        <v/>
      </c>
      <c r="G5" s="168">
        <f>IF(Tabela8[[#This Row],[Acquisition Month]]=0,0,Amortizações!O30)</f>
        <v>0</v>
      </c>
      <c r="H5" s="168">
        <f>(Tabela8[[#This Row],[Base Value
(without VAT)*]]-Tabela8[[#This Row],[Eligible Cost
(Value to indicate in the appication) / without VAT]])*1.23</f>
        <v>0</v>
      </c>
      <c r="I5" s="469" t="s">
        <v>0</v>
      </c>
      <c r="J5" s="165"/>
      <c r="K5" s="169" t="str">
        <f>IF(Tabela8[[#This Row],[ EQUIPMENT DESIGNATION]]="","",IF(Tabela8[[#This Row],[Base Value
(without VAT)*]]="","Alert: Fill in Base Value (withhout VAT)",IF(Tabela8[[#This Row],[Institution**]]="","Alert: Fill In Institution",IF(AF5&lt;100%,"Alert: The % of equipment use per task is missing.",""))))</f>
        <v/>
      </c>
      <c r="L5" s="295"/>
      <c r="M5" s="224"/>
      <c r="N5" s="224"/>
      <c r="O5" s="224"/>
      <c r="P5" s="224"/>
      <c r="Q5" s="224"/>
      <c r="R5" s="224"/>
      <c r="S5" s="224"/>
      <c r="T5" s="224"/>
      <c r="U5" s="224"/>
      <c r="V5" s="224"/>
      <c r="W5" s="224"/>
      <c r="X5" s="224"/>
      <c r="Y5" s="224"/>
      <c r="Z5" s="295"/>
      <c r="AA5" s="295"/>
      <c r="AB5" s="295"/>
      <c r="AC5" s="295"/>
      <c r="AD5" s="295"/>
      <c r="AE5" s="295"/>
      <c r="AF5" s="225">
        <f>IF(Tabela8[[#This Row],[Base Value
(without VAT)*]]="",1,((SUM(L5:AE5))))</f>
        <v>1</v>
      </c>
      <c r="AG5" s="208">
        <f>+Tabela8[[#This Row],[Eligible Cost
(Value to indicate in the appication) / without VAT]]*AF5</f>
        <v>0</v>
      </c>
      <c r="AH5" s="208">
        <f>+Tabela8[[#This Row],[Eligible Cost
(Value to indicate in the appication) / without VAT]]-AG5</f>
        <v>0</v>
      </c>
      <c r="AI5" s="208">
        <f>+Tabela8[[#This Row],[Non-Eligible Cost
(5% OH) / Includes VAT at 23% rate]]</f>
        <v>0</v>
      </c>
      <c r="AJ5" s="293">
        <f t="shared" si="1"/>
        <v>0</v>
      </c>
      <c r="AK5" s="293">
        <f t="shared" si="0"/>
        <v>0</v>
      </c>
      <c r="AL5" s="293">
        <f t="shared" si="0"/>
        <v>0</v>
      </c>
      <c r="AM5" s="293">
        <f t="shared" si="0"/>
        <v>0</v>
      </c>
      <c r="AN5" s="293">
        <f t="shared" si="0"/>
        <v>0</v>
      </c>
      <c r="AO5" s="293">
        <f t="shared" si="0"/>
        <v>0</v>
      </c>
      <c r="AP5" s="293">
        <f t="shared" si="0"/>
        <v>0</v>
      </c>
      <c r="AQ5" s="293">
        <f t="shared" si="0"/>
        <v>0</v>
      </c>
      <c r="AR5" s="293">
        <f t="shared" si="0"/>
        <v>0</v>
      </c>
      <c r="AS5" s="293">
        <f t="shared" si="0"/>
        <v>0</v>
      </c>
      <c r="AT5" s="293">
        <f t="shared" si="0"/>
        <v>0</v>
      </c>
      <c r="AU5" s="293">
        <f t="shared" si="0"/>
        <v>0</v>
      </c>
      <c r="AV5" s="293">
        <f t="shared" si="0"/>
        <v>0</v>
      </c>
      <c r="AW5" s="293">
        <f t="shared" si="0"/>
        <v>0</v>
      </c>
      <c r="AX5" s="293">
        <f t="shared" si="0"/>
        <v>0</v>
      </c>
      <c r="AY5" s="293">
        <f t="shared" si="0"/>
        <v>0</v>
      </c>
      <c r="AZ5" s="293">
        <f t="shared" si="0"/>
        <v>0</v>
      </c>
      <c r="BA5" s="293">
        <f t="shared" si="0"/>
        <v>0</v>
      </c>
      <c r="BB5" s="293">
        <f t="shared" si="0"/>
        <v>0</v>
      </c>
      <c r="BC5" s="293">
        <f t="shared" si="0"/>
        <v>0</v>
      </c>
      <c r="BD5" s="205" t="str">
        <f>+Tabela8[[#This Row],[Alerts:]]</f>
        <v/>
      </c>
      <c r="BE5" s="591"/>
    </row>
    <row r="6" spans="1:57" ht="16.55" customHeight="1">
      <c r="A6" s="164">
        <f t="shared" si="2"/>
        <v>4</v>
      </c>
      <c r="B6" s="165"/>
      <c r="C6" s="166"/>
      <c r="D6" s="167" t="str">
        <f>IF(C6="","",IF('5.Equipments'!$C6&lt;1000.01,1,""))</f>
        <v/>
      </c>
      <c r="E6" s="167" t="str">
        <f>IF(Tabela8[[#This Row],[Amortization Period 
(Years)]]="","",1)</f>
        <v/>
      </c>
      <c r="F6" s="167" t="str">
        <f>IF(Tabela8[[#This Row],[Acquisition Month]]="","",('1.G.Data'!C$14-Tabela8[[#This Row],[Acquisition Month]]+1))</f>
        <v/>
      </c>
      <c r="G6" s="168">
        <f>IF(Tabela8[[#This Row],[Acquisition Month]]=0,0,Amortizações!O42)</f>
        <v>0</v>
      </c>
      <c r="H6" s="168">
        <f>(Tabela8[[#This Row],[Base Value
(without VAT)*]]-Tabela8[[#This Row],[Eligible Cost
(Value to indicate in the appication) / without VAT]])*1.23</f>
        <v>0</v>
      </c>
      <c r="I6" s="469" t="s">
        <v>0</v>
      </c>
      <c r="J6" s="165"/>
      <c r="K6" s="169" t="str">
        <f>IF(Tabela8[[#This Row],[ EQUIPMENT DESIGNATION]]="","",IF(Tabela8[[#This Row],[Base Value
(without VAT)*]]="","Alert: Fill in Base Value (withhout VAT)",IF(Tabela8[[#This Row],[Institution**]]="","Alert: Fill In Institution",IF(AF6&lt;100%,"Alert: The % of equipment use per task is missing.",""))))</f>
        <v/>
      </c>
      <c r="L6" s="295"/>
      <c r="M6" s="224"/>
      <c r="N6" s="224"/>
      <c r="O6" s="224"/>
      <c r="P6" s="224"/>
      <c r="Q6" s="224"/>
      <c r="R6" s="224"/>
      <c r="S6" s="224"/>
      <c r="T6" s="224"/>
      <c r="U6" s="224"/>
      <c r="V6" s="224"/>
      <c r="W6" s="224"/>
      <c r="X6" s="224"/>
      <c r="Y6" s="224"/>
      <c r="Z6" s="295"/>
      <c r="AA6" s="295"/>
      <c r="AB6" s="295"/>
      <c r="AC6" s="295"/>
      <c r="AD6" s="295"/>
      <c r="AE6" s="295"/>
      <c r="AF6" s="225">
        <f>IF(Tabela8[[#This Row],[Base Value
(without VAT)*]]="",1,((SUM(L6:AE6))))</f>
        <v>1</v>
      </c>
      <c r="AG6" s="208">
        <f>+Tabela8[[#This Row],[Eligible Cost
(Value to indicate in the appication) / without VAT]]*AF6</f>
        <v>0</v>
      </c>
      <c r="AH6" s="208">
        <f>+Tabela8[[#This Row],[Eligible Cost
(Value to indicate in the appication) / without VAT]]-AG6</f>
        <v>0</v>
      </c>
      <c r="AI6" s="208">
        <f>+Tabela8[[#This Row],[Non-Eligible Cost
(5% OH) / Includes VAT at 23% rate]]</f>
        <v>0</v>
      </c>
      <c r="AJ6" s="293">
        <f t="shared" si="1"/>
        <v>0</v>
      </c>
      <c r="AK6" s="293">
        <f t="shared" si="0"/>
        <v>0</v>
      </c>
      <c r="AL6" s="293">
        <f t="shared" si="0"/>
        <v>0</v>
      </c>
      <c r="AM6" s="293">
        <f t="shared" si="0"/>
        <v>0</v>
      </c>
      <c r="AN6" s="293">
        <f t="shared" si="0"/>
        <v>0</v>
      </c>
      <c r="AO6" s="293">
        <f t="shared" si="0"/>
        <v>0</v>
      </c>
      <c r="AP6" s="293">
        <f t="shared" si="0"/>
        <v>0</v>
      </c>
      <c r="AQ6" s="293">
        <f t="shared" si="0"/>
        <v>0</v>
      </c>
      <c r="AR6" s="293">
        <f t="shared" si="0"/>
        <v>0</v>
      </c>
      <c r="AS6" s="293">
        <f t="shared" si="0"/>
        <v>0</v>
      </c>
      <c r="AT6" s="293">
        <f t="shared" si="0"/>
        <v>0</v>
      </c>
      <c r="AU6" s="293">
        <f t="shared" si="0"/>
        <v>0</v>
      </c>
      <c r="AV6" s="293">
        <f t="shared" si="0"/>
        <v>0</v>
      </c>
      <c r="AW6" s="293">
        <f t="shared" si="0"/>
        <v>0</v>
      </c>
      <c r="AX6" s="293">
        <f t="shared" si="0"/>
        <v>0</v>
      </c>
      <c r="AY6" s="293">
        <f t="shared" si="0"/>
        <v>0</v>
      </c>
      <c r="AZ6" s="293">
        <f t="shared" si="0"/>
        <v>0</v>
      </c>
      <c r="BA6" s="293">
        <f t="shared" si="0"/>
        <v>0</v>
      </c>
      <c r="BB6" s="293">
        <f t="shared" si="0"/>
        <v>0</v>
      </c>
      <c r="BC6" s="293">
        <f t="shared" si="0"/>
        <v>0</v>
      </c>
      <c r="BD6" s="206" t="str">
        <f>+Tabela8[[#This Row],[Alerts:]]</f>
        <v/>
      </c>
      <c r="BE6" s="592"/>
    </row>
    <row r="7" spans="1:57" ht="16.55" customHeight="1">
      <c r="A7" s="164">
        <f t="shared" si="2"/>
        <v>5</v>
      </c>
      <c r="B7" s="165"/>
      <c r="C7" s="166"/>
      <c r="D7" s="167" t="str">
        <f>IF(C7="","",IF('5.Equipments'!$C7&lt;1000.01,1,""))</f>
        <v/>
      </c>
      <c r="E7" s="167" t="str">
        <f>IF(Tabela8[[#This Row],[Amortization Period 
(Years)]]="","",1)</f>
        <v/>
      </c>
      <c r="F7" s="167" t="str">
        <f>IF(Tabela8[[#This Row],[Acquisition Month]]="","",('1.G.Data'!C$14-Tabela8[[#This Row],[Acquisition Month]]+1))</f>
        <v/>
      </c>
      <c r="G7" s="168">
        <f>IF(Tabela8[[#This Row],[Acquisition Month]]=0,0,Amortizações!O54)</f>
        <v>0</v>
      </c>
      <c r="H7" s="168">
        <f>(Tabela8[[#This Row],[Base Value
(without VAT)*]]-Tabela8[[#This Row],[Eligible Cost
(Value to indicate in the appication) / without VAT]])*1.23</f>
        <v>0</v>
      </c>
      <c r="I7" s="469" t="s">
        <v>0</v>
      </c>
      <c r="J7" s="165"/>
      <c r="K7" s="169" t="str">
        <f>IF(Tabela8[[#This Row],[ EQUIPMENT DESIGNATION]]="","",IF(Tabela8[[#This Row],[Base Value
(without VAT)*]]="","Alert: Fill in Base Value (withhout VAT)",IF(Tabela8[[#This Row],[Institution**]]="","Alert: Fill In Institution",IF(AF7&lt;100%,"Alert: The % of equipment use per task is missing.",""))))</f>
        <v/>
      </c>
      <c r="L7" s="295"/>
      <c r="M7" s="224"/>
      <c r="N7" s="224"/>
      <c r="O7" s="224"/>
      <c r="P7" s="224"/>
      <c r="Q7" s="224"/>
      <c r="R7" s="224"/>
      <c r="S7" s="224"/>
      <c r="T7" s="224"/>
      <c r="U7" s="224"/>
      <c r="V7" s="224"/>
      <c r="W7" s="224"/>
      <c r="X7" s="224"/>
      <c r="Y7" s="224"/>
      <c r="Z7" s="295"/>
      <c r="AA7" s="295"/>
      <c r="AB7" s="295"/>
      <c r="AC7" s="295"/>
      <c r="AD7" s="295"/>
      <c r="AE7" s="295"/>
      <c r="AF7" s="225">
        <f>IF(Tabela8[[#This Row],[Base Value
(without VAT)*]]="",1,((SUM(L7:AE7))))</f>
        <v>1</v>
      </c>
      <c r="AG7" s="208">
        <f>+Tabela8[[#This Row],[Eligible Cost
(Value to indicate in the appication) / without VAT]]*AF7</f>
        <v>0</v>
      </c>
      <c r="AH7" s="208">
        <f>+Tabela8[[#This Row],[Eligible Cost
(Value to indicate in the appication) / without VAT]]-AG7</f>
        <v>0</v>
      </c>
      <c r="AI7" s="208">
        <f>+Tabela8[[#This Row],[Non-Eligible Cost
(5% OH) / Includes VAT at 23% rate]]</f>
        <v>0</v>
      </c>
      <c r="AJ7" s="293">
        <f t="shared" si="1"/>
        <v>0</v>
      </c>
      <c r="AK7" s="293">
        <f t="shared" si="0"/>
        <v>0</v>
      </c>
      <c r="AL7" s="293">
        <f t="shared" si="0"/>
        <v>0</v>
      </c>
      <c r="AM7" s="293">
        <f t="shared" si="0"/>
        <v>0</v>
      </c>
      <c r="AN7" s="293">
        <f t="shared" si="0"/>
        <v>0</v>
      </c>
      <c r="AO7" s="293">
        <f t="shared" si="0"/>
        <v>0</v>
      </c>
      <c r="AP7" s="293">
        <f t="shared" si="0"/>
        <v>0</v>
      </c>
      <c r="AQ7" s="293">
        <f t="shared" si="0"/>
        <v>0</v>
      </c>
      <c r="AR7" s="293">
        <f t="shared" si="0"/>
        <v>0</v>
      </c>
      <c r="AS7" s="293">
        <f t="shared" si="0"/>
        <v>0</v>
      </c>
      <c r="AT7" s="293">
        <f t="shared" si="0"/>
        <v>0</v>
      </c>
      <c r="AU7" s="293">
        <f t="shared" si="0"/>
        <v>0</v>
      </c>
      <c r="AV7" s="293">
        <f t="shared" si="0"/>
        <v>0</v>
      </c>
      <c r="AW7" s="293">
        <f t="shared" si="0"/>
        <v>0</v>
      </c>
      <c r="AX7" s="293">
        <f t="shared" si="0"/>
        <v>0</v>
      </c>
      <c r="AY7" s="293">
        <f t="shared" si="0"/>
        <v>0</v>
      </c>
      <c r="AZ7" s="293">
        <f t="shared" si="0"/>
        <v>0</v>
      </c>
      <c r="BA7" s="293">
        <f t="shared" si="0"/>
        <v>0</v>
      </c>
      <c r="BB7" s="293">
        <f t="shared" si="0"/>
        <v>0</v>
      </c>
      <c r="BC7" s="293">
        <f t="shared" si="0"/>
        <v>0</v>
      </c>
      <c r="BD7" s="205" t="str">
        <f>+Tabela8[[#This Row],[Alerts:]]</f>
        <v/>
      </c>
      <c r="BE7" s="591"/>
    </row>
    <row r="8" spans="1:57" ht="16.55" customHeight="1">
      <c r="A8" s="164">
        <f t="shared" si="2"/>
        <v>6</v>
      </c>
      <c r="B8" s="165"/>
      <c r="C8" s="166"/>
      <c r="D8" s="167" t="str">
        <f>IF(C8="","",IF('5.Equipments'!$C8&lt;1000.01,1,""))</f>
        <v/>
      </c>
      <c r="E8" s="167" t="str">
        <f>IF(Tabela8[[#This Row],[Amortization Period 
(Years)]]="","",1)</f>
        <v/>
      </c>
      <c r="F8" s="167" t="str">
        <f>IF(Tabela8[[#This Row],[Acquisition Month]]="","",('1.G.Data'!C$14-Tabela8[[#This Row],[Acquisition Month]]+1))</f>
        <v/>
      </c>
      <c r="G8" s="168">
        <f>IF(Tabela8[[#This Row],[Acquisition Month]]=0,0,Amortizações!O66)</f>
        <v>0</v>
      </c>
      <c r="H8" s="168">
        <f>(Tabela8[[#This Row],[Base Value
(without VAT)*]]-Tabela8[[#This Row],[Eligible Cost
(Value to indicate in the appication) / without VAT]])*1.23</f>
        <v>0</v>
      </c>
      <c r="I8" s="469" t="s">
        <v>0</v>
      </c>
      <c r="J8" s="165"/>
      <c r="K8" s="169" t="str">
        <f>IF(Tabela8[[#This Row],[ EQUIPMENT DESIGNATION]]="","",IF(Tabela8[[#This Row],[Base Value
(without VAT)*]]="","Alert: Fill in Base Value (withhout VAT)",IF(Tabela8[[#This Row],[Institution**]]="","Alert: Fill In Institution",IF(AF8&lt;100%,"Alert: The % of equipment use per task is missing.",""))))</f>
        <v/>
      </c>
      <c r="L8" s="295"/>
      <c r="M8" s="224"/>
      <c r="N8" s="224"/>
      <c r="O8" s="224"/>
      <c r="P8" s="224"/>
      <c r="Q8" s="224"/>
      <c r="R8" s="224"/>
      <c r="S8" s="224"/>
      <c r="T8" s="224"/>
      <c r="U8" s="224"/>
      <c r="V8" s="224"/>
      <c r="W8" s="224"/>
      <c r="X8" s="224"/>
      <c r="Y8" s="224"/>
      <c r="Z8" s="295"/>
      <c r="AA8" s="295"/>
      <c r="AB8" s="295"/>
      <c r="AC8" s="295"/>
      <c r="AD8" s="295"/>
      <c r="AE8" s="295"/>
      <c r="AF8" s="225">
        <f>IF(Tabela8[[#This Row],[Base Value
(without VAT)*]]="",1,((SUM(L8:AE8))))</f>
        <v>1</v>
      </c>
      <c r="AG8" s="208">
        <f>+Tabela8[[#This Row],[Eligible Cost
(Value to indicate in the appication) / without VAT]]*AF8</f>
        <v>0</v>
      </c>
      <c r="AH8" s="208">
        <f>+Tabela8[[#This Row],[Eligible Cost
(Value to indicate in the appication) / without VAT]]-AG8</f>
        <v>0</v>
      </c>
      <c r="AI8" s="208">
        <f>+Tabela8[[#This Row],[Non-Eligible Cost
(5% OH) / Includes VAT at 23% rate]]</f>
        <v>0</v>
      </c>
      <c r="AJ8" s="293">
        <f t="shared" si="1"/>
        <v>0</v>
      </c>
      <c r="AK8" s="293">
        <f t="shared" si="0"/>
        <v>0</v>
      </c>
      <c r="AL8" s="293">
        <f t="shared" si="0"/>
        <v>0</v>
      </c>
      <c r="AM8" s="293">
        <f t="shared" si="0"/>
        <v>0</v>
      </c>
      <c r="AN8" s="293">
        <f t="shared" si="0"/>
        <v>0</v>
      </c>
      <c r="AO8" s="293">
        <f t="shared" si="0"/>
        <v>0</v>
      </c>
      <c r="AP8" s="293">
        <f t="shared" si="0"/>
        <v>0</v>
      </c>
      <c r="AQ8" s="293">
        <f t="shared" si="0"/>
        <v>0</v>
      </c>
      <c r="AR8" s="293">
        <f t="shared" si="0"/>
        <v>0</v>
      </c>
      <c r="AS8" s="293">
        <f t="shared" si="0"/>
        <v>0</v>
      </c>
      <c r="AT8" s="293">
        <f t="shared" si="0"/>
        <v>0</v>
      </c>
      <c r="AU8" s="293">
        <f t="shared" si="0"/>
        <v>0</v>
      </c>
      <c r="AV8" s="293">
        <f t="shared" si="0"/>
        <v>0</v>
      </c>
      <c r="AW8" s="293">
        <f t="shared" si="0"/>
        <v>0</v>
      </c>
      <c r="AX8" s="293">
        <f t="shared" si="0"/>
        <v>0</v>
      </c>
      <c r="AY8" s="293">
        <f t="shared" si="0"/>
        <v>0</v>
      </c>
      <c r="AZ8" s="293">
        <f t="shared" si="0"/>
        <v>0</v>
      </c>
      <c r="BA8" s="293">
        <f t="shared" si="0"/>
        <v>0</v>
      </c>
      <c r="BB8" s="293">
        <f t="shared" si="0"/>
        <v>0</v>
      </c>
      <c r="BC8" s="293">
        <f t="shared" si="0"/>
        <v>0</v>
      </c>
      <c r="BD8" s="206" t="str">
        <f>+Tabela8[[#This Row],[Alerts:]]</f>
        <v/>
      </c>
      <c r="BE8" s="592"/>
    </row>
    <row r="9" spans="1:57" ht="16.55" customHeight="1">
      <c r="A9" s="164">
        <f t="shared" si="2"/>
        <v>7</v>
      </c>
      <c r="B9" s="165"/>
      <c r="C9" s="166"/>
      <c r="D9" s="167" t="str">
        <f>IF(C9="","",IF('5.Equipments'!$C9&lt;1000.01,1,""))</f>
        <v/>
      </c>
      <c r="E9" s="167" t="str">
        <f>IF(Tabela8[[#This Row],[Amortization Period 
(Years)]]="","",1)</f>
        <v/>
      </c>
      <c r="F9" s="167" t="str">
        <f>IF(Tabela8[[#This Row],[Acquisition Month]]="","",('1.G.Data'!C$14-Tabela8[[#This Row],[Acquisition Month]]+1))</f>
        <v/>
      </c>
      <c r="G9" s="168">
        <f>IF(Tabela8[[#This Row],[Acquisition Month]]=0,0,Amortizações!O78)</f>
        <v>0</v>
      </c>
      <c r="H9" s="168">
        <f>(Tabela8[[#This Row],[Base Value
(without VAT)*]]-Tabela8[[#This Row],[Eligible Cost
(Value to indicate in the appication) / without VAT]])*1.23</f>
        <v>0</v>
      </c>
      <c r="I9" s="469" t="s">
        <v>0</v>
      </c>
      <c r="J9" s="165"/>
      <c r="K9" s="169" t="str">
        <f>IF(Tabela8[[#This Row],[ EQUIPMENT DESIGNATION]]="","",IF(Tabela8[[#This Row],[Base Value
(without VAT)*]]="","Alert: Fill in Base Value (withhout VAT)",IF(Tabela8[[#This Row],[Institution**]]="","Alert: Fill In Institution",IF(AF9&lt;100%,"Alert: The % of equipment use per task is missing.",""))))</f>
        <v/>
      </c>
      <c r="L9" s="295"/>
      <c r="M9" s="224"/>
      <c r="N9" s="224"/>
      <c r="O9" s="224"/>
      <c r="P9" s="224"/>
      <c r="Q9" s="224"/>
      <c r="R9" s="224"/>
      <c r="S9" s="224"/>
      <c r="T9" s="224"/>
      <c r="U9" s="224"/>
      <c r="V9" s="224"/>
      <c r="W9" s="224"/>
      <c r="X9" s="224"/>
      <c r="Y9" s="224"/>
      <c r="Z9" s="295"/>
      <c r="AA9" s="295"/>
      <c r="AB9" s="295"/>
      <c r="AC9" s="295"/>
      <c r="AD9" s="295"/>
      <c r="AE9" s="295"/>
      <c r="AF9" s="225">
        <f>IF(Tabela8[[#This Row],[Base Value
(without VAT)*]]="",1,((SUM(L9:AE9))))</f>
        <v>1</v>
      </c>
      <c r="AG9" s="208">
        <f>+Tabela8[[#This Row],[Eligible Cost
(Value to indicate in the appication) / without VAT]]*AF9</f>
        <v>0</v>
      </c>
      <c r="AH9" s="208">
        <f>+Tabela8[[#This Row],[Eligible Cost
(Value to indicate in the appication) / without VAT]]-AG9</f>
        <v>0</v>
      </c>
      <c r="AI9" s="208">
        <f>+Tabela8[[#This Row],[Non-Eligible Cost
(5% OH) / Includes VAT at 23% rate]]</f>
        <v>0</v>
      </c>
      <c r="AJ9" s="293">
        <f t="shared" si="1"/>
        <v>0</v>
      </c>
      <c r="AK9" s="293">
        <f t="shared" si="0"/>
        <v>0</v>
      </c>
      <c r="AL9" s="293">
        <f t="shared" si="0"/>
        <v>0</v>
      </c>
      <c r="AM9" s="293">
        <f t="shared" si="0"/>
        <v>0</v>
      </c>
      <c r="AN9" s="293">
        <f t="shared" si="0"/>
        <v>0</v>
      </c>
      <c r="AO9" s="293">
        <f t="shared" si="0"/>
        <v>0</v>
      </c>
      <c r="AP9" s="293">
        <f t="shared" si="0"/>
        <v>0</v>
      </c>
      <c r="AQ9" s="293">
        <f t="shared" si="0"/>
        <v>0</v>
      </c>
      <c r="AR9" s="293">
        <f t="shared" si="0"/>
        <v>0</v>
      </c>
      <c r="AS9" s="293">
        <f t="shared" si="0"/>
        <v>0</v>
      </c>
      <c r="AT9" s="293">
        <f t="shared" si="0"/>
        <v>0</v>
      </c>
      <c r="AU9" s="293">
        <f t="shared" si="0"/>
        <v>0</v>
      </c>
      <c r="AV9" s="293">
        <f t="shared" si="0"/>
        <v>0</v>
      </c>
      <c r="AW9" s="293">
        <f t="shared" si="0"/>
        <v>0</v>
      </c>
      <c r="AX9" s="293">
        <f t="shared" si="0"/>
        <v>0</v>
      </c>
      <c r="AY9" s="293">
        <f t="shared" si="0"/>
        <v>0</v>
      </c>
      <c r="AZ9" s="293">
        <f t="shared" si="0"/>
        <v>0</v>
      </c>
      <c r="BA9" s="293">
        <f t="shared" si="0"/>
        <v>0</v>
      </c>
      <c r="BB9" s="293">
        <f t="shared" si="0"/>
        <v>0</v>
      </c>
      <c r="BC9" s="293">
        <f t="shared" si="0"/>
        <v>0</v>
      </c>
      <c r="BD9" s="205" t="str">
        <f>+Tabela8[[#This Row],[Alerts:]]</f>
        <v/>
      </c>
      <c r="BE9" s="591"/>
    </row>
    <row r="10" spans="1:57" ht="16.55" customHeight="1">
      <c r="A10" s="164">
        <f t="shared" si="2"/>
        <v>8</v>
      </c>
      <c r="B10" s="165"/>
      <c r="C10" s="166"/>
      <c r="D10" s="167" t="str">
        <f>IF(C10="","",IF('5.Equipments'!$C10&lt;1000.01,1,""))</f>
        <v/>
      </c>
      <c r="E10" s="167" t="str">
        <f>IF(Tabela8[[#This Row],[Amortization Period 
(Years)]]="","",1)</f>
        <v/>
      </c>
      <c r="F10" s="167" t="str">
        <f>IF(Tabela8[[#This Row],[Acquisition Month]]="","",('1.G.Data'!C$14-Tabela8[[#This Row],[Acquisition Month]]+1))</f>
        <v/>
      </c>
      <c r="G10" s="168">
        <f>IF(Tabela8[[#This Row],[Acquisition Month]]=0,0,Amortizações!O90)</f>
        <v>0</v>
      </c>
      <c r="H10" s="168">
        <f>(Tabela8[[#This Row],[Base Value
(without VAT)*]]-Tabela8[[#This Row],[Eligible Cost
(Value to indicate in the appication) / without VAT]])*1.23</f>
        <v>0</v>
      </c>
      <c r="I10" s="469" t="s">
        <v>0</v>
      </c>
      <c r="J10" s="165"/>
      <c r="K10" s="169" t="str">
        <f>IF(Tabela8[[#This Row],[ EQUIPMENT DESIGNATION]]="","",IF(Tabela8[[#This Row],[Base Value
(without VAT)*]]="","Alert: Fill in Base Value (withhout VAT)",IF(Tabela8[[#This Row],[Institution**]]="","Alert: Fill In Institution",IF(AF10&lt;100%,"Alert: The % of equipment use per task is missing.",""))))</f>
        <v/>
      </c>
      <c r="L10" s="295"/>
      <c r="M10" s="224"/>
      <c r="N10" s="224"/>
      <c r="O10" s="224"/>
      <c r="P10" s="224"/>
      <c r="Q10" s="224"/>
      <c r="R10" s="224"/>
      <c r="S10" s="224"/>
      <c r="T10" s="224"/>
      <c r="U10" s="224"/>
      <c r="V10" s="224"/>
      <c r="W10" s="224"/>
      <c r="X10" s="224"/>
      <c r="Y10" s="224"/>
      <c r="Z10" s="295"/>
      <c r="AA10" s="295"/>
      <c r="AB10" s="295"/>
      <c r="AC10" s="295"/>
      <c r="AD10" s="295"/>
      <c r="AE10" s="295"/>
      <c r="AF10" s="225">
        <f>IF(Tabela8[[#This Row],[Base Value
(without VAT)*]]="",1,((SUM(L10:AE10))))</f>
        <v>1</v>
      </c>
      <c r="AG10" s="208">
        <f>+Tabela8[[#This Row],[Eligible Cost
(Value to indicate in the appication) / without VAT]]*AF10</f>
        <v>0</v>
      </c>
      <c r="AH10" s="208">
        <f>+Tabela8[[#This Row],[Eligible Cost
(Value to indicate in the appication) / without VAT]]-AG10</f>
        <v>0</v>
      </c>
      <c r="AI10" s="208">
        <f>+Tabela8[[#This Row],[Non-Eligible Cost
(5% OH) / Includes VAT at 23% rate]]</f>
        <v>0</v>
      </c>
      <c r="AJ10" s="293">
        <f t="shared" si="1"/>
        <v>0</v>
      </c>
      <c r="AK10" s="293">
        <f t="shared" si="0"/>
        <v>0</v>
      </c>
      <c r="AL10" s="293">
        <f t="shared" si="0"/>
        <v>0</v>
      </c>
      <c r="AM10" s="293">
        <f t="shared" si="0"/>
        <v>0</v>
      </c>
      <c r="AN10" s="293">
        <f t="shared" si="0"/>
        <v>0</v>
      </c>
      <c r="AO10" s="293">
        <f t="shared" si="0"/>
        <v>0</v>
      </c>
      <c r="AP10" s="293">
        <f t="shared" si="0"/>
        <v>0</v>
      </c>
      <c r="AQ10" s="293">
        <f t="shared" si="0"/>
        <v>0</v>
      </c>
      <c r="AR10" s="293">
        <f t="shared" si="0"/>
        <v>0</v>
      </c>
      <c r="AS10" s="293">
        <f t="shared" si="0"/>
        <v>0</v>
      </c>
      <c r="AT10" s="293">
        <f t="shared" si="0"/>
        <v>0</v>
      </c>
      <c r="AU10" s="293">
        <f t="shared" si="0"/>
        <v>0</v>
      </c>
      <c r="AV10" s="293">
        <f t="shared" si="0"/>
        <v>0</v>
      </c>
      <c r="AW10" s="293">
        <f t="shared" si="0"/>
        <v>0</v>
      </c>
      <c r="AX10" s="293">
        <f t="shared" si="0"/>
        <v>0</v>
      </c>
      <c r="AY10" s="293">
        <f t="shared" si="0"/>
        <v>0</v>
      </c>
      <c r="AZ10" s="293">
        <f t="shared" si="0"/>
        <v>0</v>
      </c>
      <c r="BA10" s="293">
        <f t="shared" si="0"/>
        <v>0</v>
      </c>
      <c r="BB10" s="293">
        <f t="shared" si="0"/>
        <v>0</v>
      </c>
      <c r="BC10" s="293">
        <f t="shared" si="0"/>
        <v>0</v>
      </c>
      <c r="BD10" s="206" t="str">
        <f>+Tabela8[[#This Row],[Alerts:]]</f>
        <v/>
      </c>
      <c r="BE10" s="592"/>
    </row>
    <row r="11" spans="1:57" ht="16.55" customHeight="1">
      <c r="A11" s="164">
        <f t="shared" si="2"/>
        <v>9</v>
      </c>
      <c r="B11" s="165"/>
      <c r="C11" s="166"/>
      <c r="D11" s="167" t="str">
        <f>IF(C11="","",IF('5.Equipments'!$C11&lt;1000.01,1,""))</f>
        <v/>
      </c>
      <c r="E11" s="167" t="str">
        <f>IF(Tabela8[[#This Row],[Amortization Period 
(Years)]]="","",1)</f>
        <v/>
      </c>
      <c r="F11" s="167" t="str">
        <f>IF(Tabela8[[#This Row],[Acquisition Month]]="","",('1.G.Data'!C$14-Tabela8[[#This Row],[Acquisition Month]]+1))</f>
        <v/>
      </c>
      <c r="G11" s="168">
        <f>IF(Tabela8[[#This Row],[Acquisition Month]]=0,0,Amortizações!O102)</f>
        <v>0</v>
      </c>
      <c r="H11" s="168">
        <f>(Tabela8[[#This Row],[Base Value
(without VAT)*]]-Tabela8[[#This Row],[Eligible Cost
(Value to indicate in the appication) / without VAT]])*1.23</f>
        <v>0</v>
      </c>
      <c r="I11" s="469" t="s">
        <v>0</v>
      </c>
      <c r="J11" s="165"/>
      <c r="K11" s="169" t="str">
        <f>IF(Tabela8[[#This Row],[ EQUIPMENT DESIGNATION]]="","",IF(Tabela8[[#This Row],[Base Value
(without VAT)*]]="","Alert: Fill in Base Value (withhout VAT)",IF(Tabela8[[#This Row],[Institution**]]="","Alert: Fill In Institution",IF(AF11&lt;100%,"Alert: The % of equipment use per task is missing.",""))))</f>
        <v/>
      </c>
      <c r="L11" s="295"/>
      <c r="M11" s="224"/>
      <c r="N11" s="224"/>
      <c r="O11" s="224"/>
      <c r="P11" s="224"/>
      <c r="Q11" s="224"/>
      <c r="R11" s="224"/>
      <c r="S11" s="224"/>
      <c r="T11" s="224"/>
      <c r="U11" s="224"/>
      <c r="V11" s="224"/>
      <c r="W11" s="224"/>
      <c r="X11" s="224"/>
      <c r="Y11" s="224"/>
      <c r="Z11" s="295"/>
      <c r="AA11" s="295"/>
      <c r="AB11" s="295"/>
      <c r="AC11" s="295"/>
      <c r="AD11" s="295"/>
      <c r="AE11" s="295"/>
      <c r="AF11" s="225">
        <f>IF(Tabela8[[#This Row],[Base Value
(without VAT)*]]="",1,((SUM(L11:AE11))))</f>
        <v>1</v>
      </c>
      <c r="AG11" s="208">
        <f>+Tabela8[[#This Row],[Eligible Cost
(Value to indicate in the appication) / without VAT]]*AF11</f>
        <v>0</v>
      </c>
      <c r="AH11" s="208">
        <f>+Tabela8[[#This Row],[Eligible Cost
(Value to indicate in the appication) / without VAT]]-AG11</f>
        <v>0</v>
      </c>
      <c r="AI11" s="208">
        <f>+Tabela8[[#This Row],[Non-Eligible Cost
(5% OH) / Includes VAT at 23% rate]]</f>
        <v>0</v>
      </c>
      <c r="AJ11" s="293">
        <f t="shared" si="1"/>
        <v>0</v>
      </c>
      <c r="AK11" s="293">
        <f t="shared" si="0"/>
        <v>0</v>
      </c>
      <c r="AL11" s="293">
        <f t="shared" si="0"/>
        <v>0</v>
      </c>
      <c r="AM11" s="293">
        <f t="shared" si="0"/>
        <v>0</v>
      </c>
      <c r="AN11" s="293">
        <f t="shared" si="0"/>
        <v>0</v>
      </c>
      <c r="AO11" s="293">
        <f t="shared" si="0"/>
        <v>0</v>
      </c>
      <c r="AP11" s="293">
        <f t="shared" si="0"/>
        <v>0</v>
      </c>
      <c r="AQ11" s="293">
        <f t="shared" si="0"/>
        <v>0</v>
      </c>
      <c r="AR11" s="293">
        <f t="shared" si="0"/>
        <v>0</v>
      </c>
      <c r="AS11" s="293">
        <f t="shared" si="0"/>
        <v>0</v>
      </c>
      <c r="AT11" s="293">
        <f t="shared" si="0"/>
        <v>0</v>
      </c>
      <c r="AU11" s="293">
        <f t="shared" si="0"/>
        <v>0</v>
      </c>
      <c r="AV11" s="293">
        <f t="shared" si="0"/>
        <v>0</v>
      </c>
      <c r="AW11" s="293">
        <f t="shared" si="0"/>
        <v>0</v>
      </c>
      <c r="AX11" s="293">
        <f t="shared" si="0"/>
        <v>0</v>
      </c>
      <c r="AY11" s="293">
        <f t="shared" si="0"/>
        <v>0</v>
      </c>
      <c r="AZ11" s="293">
        <f t="shared" si="0"/>
        <v>0</v>
      </c>
      <c r="BA11" s="293">
        <f t="shared" si="0"/>
        <v>0</v>
      </c>
      <c r="BB11" s="293">
        <f t="shared" si="0"/>
        <v>0</v>
      </c>
      <c r="BC11" s="293">
        <f t="shared" si="0"/>
        <v>0</v>
      </c>
      <c r="BD11" s="205" t="str">
        <f>+Tabela8[[#This Row],[Alerts:]]</f>
        <v/>
      </c>
      <c r="BE11" s="591"/>
    </row>
    <row r="12" spans="1:57" ht="16.55" customHeight="1">
      <c r="A12" s="164">
        <f t="shared" si="2"/>
        <v>10</v>
      </c>
      <c r="B12" s="165"/>
      <c r="C12" s="166"/>
      <c r="D12" s="167" t="str">
        <f>IF(C12="","",IF('5.Equipments'!$C12&lt;1000.01,1,""))</f>
        <v/>
      </c>
      <c r="E12" s="167" t="str">
        <f>IF(Tabela8[[#This Row],[Amortization Period 
(Years)]]="","",1)</f>
        <v/>
      </c>
      <c r="F12" s="167" t="str">
        <f>IF(Tabela8[[#This Row],[Acquisition Month]]="","",('1.G.Data'!C$14-Tabela8[[#This Row],[Acquisition Month]]+1))</f>
        <v/>
      </c>
      <c r="G12" s="168">
        <f>IF(Tabela8[[#This Row],[Acquisition Month]]=0,0,Amortizações!O114)</f>
        <v>0</v>
      </c>
      <c r="H12" s="168">
        <f>(Tabela8[[#This Row],[Base Value
(without VAT)*]]-Tabela8[[#This Row],[Eligible Cost
(Value to indicate in the appication) / without VAT]])*1.23</f>
        <v>0</v>
      </c>
      <c r="I12" s="469" t="s">
        <v>0</v>
      </c>
      <c r="J12" s="165"/>
      <c r="K12" s="169" t="str">
        <f>IF(Tabela8[[#This Row],[ EQUIPMENT DESIGNATION]]="","",IF(Tabela8[[#This Row],[Base Value
(without VAT)*]]="","Alert: Fill in Base Value (withhout VAT)",IF(Tabela8[[#This Row],[Institution**]]="","Alert: Fill In Institution",IF(AF12&lt;100%,"Alert: The % of equipment use per task is missing.",""))))</f>
        <v/>
      </c>
      <c r="L12" s="295"/>
      <c r="M12" s="224"/>
      <c r="N12" s="224"/>
      <c r="O12" s="224"/>
      <c r="P12" s="224"/>
      <c r="Q12" s="224"/>
      <c r="R12" s="224"/>
      <c r="S12" s="224"/>
      <c r="T12" s="224"/>
      <c r="U12" s="224"/>
      <c r="V12" s="224"/>
      <c r="W12" s="224"/>
      <c r="X12" s="224"/>
      <c r="Y12" s="224"/>
      <c r="Z12" s="295"/>
      <c r="AA12" s="295"/>
      <c r="AB12" s="295"/>
      <c r="AC12" s="295"/>
      <c r="AD12" s="295"/>
      <c r="AE12" s="295"/>
      <c r="AF12" s="225">
        <f>IF(Tabela8[[#This Row],[Base Value
(without VAT)*]]="",1,((SUM(L12:AE12))))</f>
        <v>1</v>
      </c>
      <c r="AG12" s="208">
        <f>+Tabela8[[#This Row],[Eligible Cost
(Value to indicate in the appication) / without VAT]]*AF12</f>
        <v>0</v>
      </c>
      <c r="AH12" s="208">
        <f>+Tabela8[[#This Row],[Eligible Cost
(Value to indicate in the appication) / without VAT]]-AG12</f>
        <v>0</v>
      </c>
      <c r="AI12" s="208">
        <f>+Tabela8[[#This Row],[Non-Eligible Cost
(5% OH) / Includes VAT at 23% rate]]</f>
        <v>0</v>
      </c>
      <c r="AJ12" s="293">
        <f t="shared" si="1"/>
        <v>0</v>
      </c>
      <c r="AK12" s="293">
        <f t="shared" si="0"/>
        <v>0</v>
      </c>
      <c r="AL12" s="293">
        <f t="shared" si="0"/>
        <v>0</v>
      </c>
      <c r="AM12" s="293">
        <f t="shared" si="0"/>
        <v>0</v>
      </c>
      <c r="AN12" s="293">
        <f t="shared" si="0"/>
        <v>0</v>
      </c>
      <c r="AO12" s="293">
        <f t="shared" si="0"/>
        <v>0</v>
      </c>
      <c r="AP12" s="293">
        <f t="shared" si="0"/>
        <v>0</v>
      </c>
      <c r="AQ12" s="293">
        <f t="shared" si="0"/>
        <v>0</v>
      </c>
      <c r="AR12" s="293">
        <f t="shared" si="0"/>
        <v>0</v>
      </c>
      <c r="AS12" s="293">
        <f t="shared" si="0"/>
        <v>0</v>
      </c>
      <c r="AT12" s="293">
        <f t="shared" si="0"/>
        <v>0</v>
      </c>
      <c r="AU12" s="293">
        <f t="shared" si="0"/>
        <v>0</v>
      </c>
      <c r="AV12" s="293">
        <f t="shared" si="0"/>
        <v>0</v>
      </c>
      <c r="AW12" s="293">
        <f t="shared" si="0"/>
        <v>0</v>
      </c>
      <c r="AX12" s="293">
        <f t="shared" si="0"/>
        <v>0</v>
      </c>
      <c r="AY12" s="293">
        <f t="shared" si="0"/>
        <v>0</v>
      </c>
      <c r="AZ12" s="293">
        <f t="shared" si="0"/>
        <v>0</v>
      </c>
      <c r="BA12" s="293">
        <f t="shared" si="0"/>
        <v>0</v>
      </c>
      <c r="BB12" s="293">
        <f t="shared" si="0"/>
        <v>0</v>
      </c>
      <c r="BC12" s="293">
        <f t="shared" si="0"/>
        <v>0</v>
      </c>
      <c r="BD12" s="206" t="str">
        <f>+Tabela8[[#This Row],[Alerts:]]</f>
        <v/>
      </c>
      <c r="BE12" s="592"/>
    </row>
    <row r="13" spans="1:57" ht="16.55" customHeight="1">
      <c r="A13" s="164">
        <f t="shared" si="2"/>
        <v>11</v>
      </c>
      <c r="B13" s="165"/>
      <c r="C13" s="166"/>
      <c r="D13" s="167" t="str">
        <f>IF(C13="","",IF('5.Equipments'!$C13&lt;1000.01,1,""))</f>
        <v/>
      </c>
      <c r="E13" s="167" t="str">
        <f>IF(Tabela8[[#This Row],[Amortization Period 
(Years)]]="","",1)</f>
        <v/>
      </c>
      <c r="F13" s="167" t="str">
        <f>IF(Tabela8[[#This Row],[Acquisition Month]]="","",('1.G.Data'!C$14-Tabela8[[#This Row],[Acquisition Month]]+1))</f>
        <v/>
      </c>
      <c r="G13" s="168">
        <f>IF(Tabela8[[#This Row],[Acquisition Month]]=0,0,Amortizações!O126)</f>
        <v>0</v>
      </c>
      <c r="H13" s="168">
        <f>(Tabela8[[#This Row],[Base Value
(without VAT)*]]-Tabela8[[#This Row],[Eligible Cost
(Value to indicate in the appication) / without VAT]])*1.23</f>
        <v>0</v>
      </c>
      <c r="I13" s="469" t="s">
        <v>0</v>
      </c>
      <c r="J13" s="165"/>
      <c r="K13" s="169" t="str">
        <f>IF(Tabela8[[#This Row],[ EQUIPMENT DESIGNATION]]="","",IF(Tabela8[[#This Row],[Base Value
(without VAT)*]]="","Alert: Fill in Base Value (withhout VAT)",IF(Tabela8[[#This Row],[Institution**]]="","Alert: Fill In Institution",IF(AF13&lt;100%,"Alert: The % of equipment use per task is missing.",""))))</f>
        <v/>
      </c>
      <c r="L13" s="295"/>
      <c r="M13" s="224"/>
      <c r="N13" s="224"/>
      <c r="O13" s="224"/>
      <c r="P13" s="224"/>
      <c r="Q13" s="224"/>
      <c r="R13" s="224"/>
      <c r="S13" s="224"/>
      <c r="T13" s="224"/>
      <c r="U13" s="224"/>
      <c r="V13" s="224"/>
      <c r="W13" s="224"/>
      <c r="X13" s="224"/>
      <c r="Y13" s="224"/>
      <c r="Z13" s="295"/>
      <c r="AA13" s="295"/>
      <c r="AB13" s="295"/>
      <c r="AC13" s="295"/>
      <c r="AD13" s="295"/>
      <c r="AE13" s="295"/>
      <c r="AF13" s="225">
        <f>IF(Tabela8[[#This Row],[Base Value
(without VAT)*]]="",1,((SUM(L13:AE13))))</f>
        <v>1</v>
      </c>
      <c r="AG13" s="208">
        <f>+Tabela8[[#This Row],[Eligible Cost
(Value to indicate in the appication) / without VAT]]*AF13</f>
        <v>0</v>
      </c>
      <c r="AH13" s="208">
        <f>+Tabela8[[#This Row],[Eligible Cost
(Value to indicate in the appication) / without VAT]]-AG13</f>
        <v>0</v>
      </c>
      <c r="AI13" s="208">
        <f>+Tabela8[[#This Row],[Non-Eligible Cost
(5% OH) / Includes VAT at 23% rate]]</f>
        <v>0</v>
      </c>
      <c r="AJ13" s="293">
        <f t="shared" si="1"/>
        <v>0</v>
      </c>
      <c r="AK13" s="293">
        <f t="shared" si="0"/>
        <v>0</v>
      </c>
      <c r="AL13" s="293">
        <f t="shared" si="0"/>
        <v>0</v>
      </c>
      <c r="AM13" s="293">
        <f t="shared" si="0"/>
        <v>0</v>
      </c>
      <c r="AN13" s="293">
        <f t="shared" si="0"/>
        <v>0</v>
      </c>
      <c r="AO13" s="293">
        <f t="shared" si="0"/>
        <v>0</v>
      </c>
      <c r="AP13" s="293">
        <f t="shared" si="0"/>
        <v>0</v>
      </c>
      <c r="AQ13" s="293">
        <f t="shared" si="0"/>
        <v>0</v>
      </c>
      <c r="AR13" s="293">
        <f t="shared" si="0"/>
        <v>0</v>
      </c>
      <c r="AS13" s="293">
        <f t="shared" si="0"/>
        <v>0</v>
      </c>
      <c r="AT13" s="293">
        <f t="shared" si="0"/>
        <v>0</v>
      </c>
      <c r="AU13" s="293">
        <f t="shared" si="0"/>
        <v>0</v>
      </c>
      <c r="AV13" s="293">
        <f t="shared" si="0"/>
        <v>0</v>
      </c>
      <c r="AW13" s="293">
        <f t="shared" si="0"/>
        <v>0</v>
      </c>
      <c r="AX13" s="293">
        <f t="shared" si="0"/>
        <v>0</v>
      </c>
      <c r="AY13" s="293">
        <f t="shared" si="0"/>
        <v>0</v>
      </c>
      <c r="AZ13" s="293">
        <f t="shared" si="0"/>
        <v>0</v>
      </c>
      <c r="BA13" s="293">
        <f t="shared" si="0"/>
        <v>0</v>
      </c>
      <c r="BB13" s="293">
        <f t="shared" si="0"/>
        <v>0</v>
      </c>
      <c r="BC13" s="293">
        <f t="shared" si="0"/>
        <v>0</v>
      </c>
      <c r="BD13" s="205" t="str">
        <f>+Tabela8[[#This Row],[Alerts:]]</f>
        <v/>
      </c>
      <c r="BE13" s="591"/>
    </row>
    <row r="14" spans="1:57" ht="16.55" customHeight="1">
      <c r="A14" s="164">
        <f t="shared" si="2"/>
        <v>12</v>
      </c>
      <c r="B14" s="165"/>
      <c r="C14" s="166"/>
      <c r="D14" s="167" t="str">
        <f>IF(C14="","",IF('5.Equipments'!$C14&lt;1000.01,1,""))</f>
        <v/>
      </c>
      <c r="E14" s="167" t="str">
        <f>IF(Tabela8[[#This Row],[Amortization Period 
(Years)]]="","",1)</f>
        <v/>
      </c>
      <c r="F14" s="167" t="str">
        <f>IF(Tabela8[[#This Row],[Acquisition Month]]="","",('1.G.Data'!C$14-Tabela8[[#This Row],[Acquisition Month]]+1))</f>
        <v/>
      </c>
      <c r="G14" s="168">
        <f>IF(Tabela8[[#This Row],[Acquisition Month]]=0,0,Amortizações!O138)</f>
        <v>0</v>
      </c>
      <c r="H14" s="168">
        <f>(Tabela8[[#This Row],[Base Value
(without VAT)*]]-Tabela8[[#This Row],[Eligible Cost
(Value to indicate in the appication) / without VAT]])*1.23</f>
        <v>0</v>
      </c>
      <c r="I14" s="469" t="s">
        <v>0</v>
      </c>
      <c r="J14" s="165"/>
      <c r="K14" s="169" t="str">
        <f>IF(Tabela8[[#This Row],[ EQUIPMENT DESIGNATION]]="","",IF(Tabela8[[#This Row],[Base Value
(without VAT)*]]="","Alert: Fill in Base Value (withhout VAT)",IF(Tabela8[[#This Row],[Institution**]]="","Alert: Fill In Institution",IF(AF14&lt;100%,"Alert: The % of equipment use per task is missing.",""))))</f>
        <v/>
      </c>
      <c r="L14" s="295"/>
      <c r="M14" s="224"/>
      <c r="N14" s="224"/>
      <c r="O14" s="224"/>
      <c r="P14" s="224"/>
      <c r="Q14" s="224"/>
      <c r="R14" s="224"/>
      <c r="S14" s="224"/>
      <c r="T14" s="224"/>
      <c r="U14" s="224"/>
      <c r="V14" s="224"/>
      <c r="W14" s="224"/>
      <c r="X14" s="224"/>
      <c r="Y14" s="224"/>
      <c r="Z14" s="295"/>
      <c r="AA14" s="295"/>
      <c r="AB14" s="295"/>
      <c r="AC14" s="295"/>
      <c r="AD14" s="295"/>
      <c r="AE14" s="295"/>
      <c r="AF14" s="225">
        <f>IF(Tabela8[[#This Row],[Base Value
(without VAT)*]]="",1,((SUM(L14:AE14))))</f>
        <v>1</v>
      </c>
      <c r="AG14" s="208">
        <f>+Tabela8[[#This Row],[Eligible Cost
(Value to indicate in the appication) / without VAT]]*AF14</f>
        <v>0</v>
      </c>
      <c r="AH14" s="208">
        <f>+Tabela8[[#This Row],[Eligible Cost
(Value to indicate in the appication) / without VAT]]-AG14</f>
        <v>0</v>
      </c>
      <c r="AI14" s="208">
        <f>+Tabela8[[#This Row],[Non-Eligible Cost
(5% OH) / Includes VAT at 23% rate]]</f>
        <v>0</v>
      </c>
      <c r="AJ14" s="293">
        <f t="shared" si="1"/>
        <v>0</v>
      </c>
      <c r="AK14" s="293">
        <f t="shared" si="0"/>
        <v>0</v>
      </c>
      <c r="AL14" s="293">
        <f t="shared" si="0"/>
        <v>0</v>
      </c>
      <c r="AM14" s="293">
        <f t="shared" si="0"/>
        <v>0</v>
      </c>
      <c r="AN14" s="293">
        <f t="shared" si="0"/>
        <v>0</v>
      </c>
      <c r="AO14" s="293">
        <f t="shared" si="0"/>
        <v>0</v>
      </c>
      <c r="AP14" s="293">
        <f t="shared" si="0"/>
        <v>0</v>
      </c>
      <c r="AQ14" s="293">
        <f t="shared" si="0"/>
        <v>0</v>
      </c>
      <c r="AR14" s="293">
        <f t="shared" si="0"/>
        <v>0</v>
      </c>
      <c r="AS14" s="293">
        <f t="shared" si="0"/>
        <v>0</v>
      </c>
      <c r="AT14" s="293">
        <f t="shared" si="0"/>
        <v>0</v>
      </c>
      <c r="AU14" s="293">
        <f t="shared" si="0"/>
        <v>0</v>
      </c>
      <c r="AV14" s="293">
        <f t="shared" si="0"/>
        <v>0</v>
      </c>
      <c r="AW14" s="293">
        <f t="shared" si="0"/>
        <v>0</v>
      </c>
      <c r="AX14" s="293">
        <f t="shared" si="0"/>
        <v>0</v>
      </c>
      <c r="AY14" s="293">
        <f t="shared" si="0"/>
        <v>0</v>
      </c>
      <c r="AZ14" s="293">
        <f t="shared" si="0"/>
        <v>0</v>
      </c>
      <c r="BA14" s="293">
        <f t="shared" si="0"/>
        <v>0</v>
      </c>
      <c r="BB14" s="293">
        <f t="shared" si="0"/>
        <v>0</v>
      </c>
      <c r="BC14" s="293">
        <f t="shared" si="0"/>
        <v>0</v>
      </c>
      <c r="BD14" s="206" t="str">
        <f>+Tabela8[[#This Row],[Alerts:]]</f>
        <v/>
      </c>
      <c r="BE14" s="592"/>
    </row>
    <row r="15" spans="1:57" ht="16.55" customHeight="1">
      <c r="A15" s="164">
        <f t="shared" si="2"/>
        <v>13</v>
      </c>
      <c r="B15" s="165"/>
      <c r="C15" s="166"/>
      <c r="D15" s="167" t="str">
        <f>IF(C15="","",IF('5.Equipments'!$C15&lt;1000.01,1,""))</f>
        <v/>
      </c>
      <c r="E15" s="167" t="str">
        <f>IF(Tabela8[[#This Row],[Amortization Period 
(Years)]]="","",1)</f>
        <v/>
      </c>
      <c r="F15" s="167"/>
      <c r="G15" s="168">
        <f>IF(Tabela8[[#This Row],[Acquisition Month]]=0,0,Amortizações!O150)</f>
        <v>0</v>
      </c>
      <c r="H15" s="168">
        <f>(Tabela8[[#This Row],[Base Value
(without VAT)*]]-Tabela8[[#This Row],[Eligible Cost
(Value to indicate in the appication) / without VAT]])*1.23</f>
        <v>0</v>
      </c>
      <c r="I15" s="469" t="s">
        <v>0</v>
      </c>
      <c r="J15" s="165"/>
      <c r="K15" s="169" t="str">
        <f>IF(Tabela8[[#This Row],[ EQUIPMENT DESIGNATION]]="","",IF(Tabela8[[#This Row],[Base Value
(without VAT)*]]="","Alert: Fill in Base Value (withhout VAT)",IF(Tabela8[[#This Row],[Institution**]]="","Alert: Fill In Institution",IF(AF15&lt;100%,"Alert: The % of equipment use per task is missing.",""))))</f>
        <v/>
      </c>
      <c r="L15" s="295"/>
      <c r="M15" s="224"/>
      <c r="N15" s="224"/>
      <c r="O15" s="224"/>
      <c r="P15" s="224"/>
      <c r="Q15" s="224"/>
      <c r="R15" s="224"/>
      <c r="S15" s="224"/>
      <c r="T15" s="224"/>
      <c r="U15" s="224"/>
      <c r="V15" s="224"/>
      <c r="W15" s="224"/>
      <c r="X15" s="224"/>
      <c r="Y15" s="224"/>
      <c r="Z15" s="295"/>
      <c r="AA15" s="295"/>
      <c r="AB15" s="295"/>
      <c r="AC15" s="295"/>
      <c r="AD15" s="295"/>
      <c r="AE15" s="295"/>
      <c r="AF15" s="225">
        <f>IF(Tabela8[[#This Row],[Base Value
(without VAT)*]]="",1,((SUM(L15:AE15))))</f>
        <v>1</v>
      </c>
      <c r="AG15" s="208">
        <f>+Tabela8[[#This Row],[Eligible Cost
(Value to indicate in the appication) / without VAT]]*AF15</f>
        <v>0</v>
      </c>
      <c r="AH15" s="208">
        <f>+Tabela8[[#This Row],[Eligible Cost
(Value to indicate in the appication) / without VAT]]-AG15</f>
        <v>0</v>
      </c>
      <c r="AI15" s="208">
        <f>+Tabela8[[#This Row],[Non-Eligible Cost
(5% OH) / Includes VAT at 23% rate]]</f>
        <v>0</v>
      </c>
      <c r="AJ15" s="293">
        <f t="shared" si="1"/>
        <v>0</v>
      </c>
      <c r="AK15" s="293">
        <f t="shared" si="0"/>
        <v>0</v>
      </c>
      <c r="AL15" s="293">
        <f t="shared" si="0"/>
        <v>0</v>
      </c>
      <c r="AM15" s="293">
        <f t="shared" si="0"/>
        <v>0</v>
      </c>
      <c r="AN15" s="293">
        <f t="shared" si="0"/>
        <v>0</v>
      </c>
      <c r="AO15" s="293">
        <f t="shared" si="0"/>
        <v>0</v>
      </c>
      <c r="AP15" s="293">
        <f t="shared" si="0"/>
        <v>0</v>
      </c>
      <c r="AQ15" s="293">
        <f t="shared" si="0"/>
        <v>0</v>
      </c>
      <c r="AR15" s="293">
        <f t="shared" si="0"/>
        <v>0</v>
      </c>
      <c r="AS15" s="293">
        <f t="shared" si="0"/>
        <v>0</v>
      </c>
      <c r="AT15" s="293">
        <f t="shared" si="0"/>
        <v>0</v>
      </c>
      <c r="AU15" s="293">
        <f t="shared" si="0"/>
        <v>0</v>
      </c>
      <c r="AV15" s="293">
        <f t="shared" si="0"/>
        <v>0</v>
      </c>
      <c r="AW15" s="293">
        <f t="shared" si="0"/>
        <v>0</v>
      </c>
      <c r="AX15" s="293">
        <f t="shared" si="0"/>
        <v>0</v>
      </c>
      <c r="AY15" s="293">
        <f t="shared" si="0"/>
        <v>0</v>
      </c>
      <c r="AZ15" s="293">
        <f t="shared" si="0"/>
        <v>0</v>
      </c>
      <c r="BA15" s="293">
        <f t="shared" si="0"/>
        <v>0</v>
      </c>
      <c r="BB15" s="293">
        <f t="shared" si="0"/>
        <v>0</v>
      </c>
      <c r="BC15" s="293">
        <f t="shared" si="0"/>
        <v>0</v>
      </c>
      <c r="BD15" s="205" t="str">
        <f>+Tabela8[[#This Row],[Alerts:]]</f>
        <v/>
      </c>
      <c r="BE15" s="591"/>
    </row>
    <row r="16" spans="1:57" ht="16.55" customHeight="1">
      <c r="A16" s="164">
        <f t="shared" si="2"/>
        <v>14</v>
      </c>
      <c r="B16" s="165"/>
      <c r="C16" s="166"/>
      <c r="D16" s="167" t="str">
        <f>IF(C16="","",IF('5.Equipments'!$C16&lt;1000.01,1,""))</f>
        <v/>
      </c>
      <c r="E16" s="167" t="str">
        <f>IF(Tabela8[[#This Row],[Amortization Period 
(Years)]]="","",1)</f>
        <v/>
      </c>
      <c r="F16" s="167" t="str">
        <f>IF(Tabela8[[#This Row],[Acquisition Month]]="","",('1.G.Data'!C$14-Tabela8[[#This Row],[Acquisition Month]]+1))</f>
        <v/>
      </c>
      <c r="G16" s="168">
        <f>IF(Tabela8[[#This Row],[Acquisition Month]]=0,0,Amortizações!O162)</f>
        <v>0</v>
      </c>
      <c r="H16" s="168">
        <f>(Tabela8[[#This Row],[Base Value
(without VAT)*]]-Tabela8[[#This Row],[Eligible Cost
(Value to indicate in the appication) / without VAT]])*1.23</f>
        <v>0</v>
      </c>
      <c r="I16" s="469" t="s">
        <v>0</v>
      </c>
      <c r="J16" s="165"/>
      <c r="K16" s="169" t="str">
        <f>IF(Tabela8[[#This Row],[ EQUIPMENT DESIGNATION]]="","",IF(Tabela8[[#This Row],[Base Value
(without VAT)*]]="","Alert: Fill in Base Value (withhout VAT)",IF(Tabela8[[#This Row],[Institution**]]="","Alert: Fill In Institution",IF(AF16&lt;100%,"Alert: The % of equipment use per task is missing.",""))))</f>
        <v/>
      </c>
      <c r="L16" s="295"/>
      <c r="M16" s="224"/>
      <c r="N16" s="224"/>
      <c r="O16" s="224"/>
      <c r="P16" s="224"/>
      <c r="Q16" s="224"/>
      <c r="R16" s="224"/>
      <c r="S16" s="224"/>
      <c r="T16" s="224"/>
      <c r="U16" s="224"/>
      <c r="V16" s="224"/>
      <c r="W16" s="224"/>
      <c r="X16" s="224"/>
      <c r="Y16" s="224"/>
      <c r="Z16" s="295"/>
      <c r="AA16" s="295"/>
      <c r="AB16" s="295"/>
      <c r="AC16" s="295"/>
      <c r="AD16" s="295"/>
      <c r="AE16" s="295"/>
      <c r="AF16" s="225">
        <f>IF(Tabela8[[#This Row],[Base Value
(without VAT)*]]="",1,((SUM(L16:AE16))))</f>
        <v>1</v>
      </c>
      <c r="AG16" s="208">
        <f>+Tabela8[[#This Row],[Eligible Cost
(Value to indicate in the appication) / without VAT]]*AF16</f>
        <v>0</v>
      </c>
      <c r="AH16" s="208">
        <f>+Tabela8[[#This Row],[Eligible Cost
(Value to indicate in the appication) / without VAT]]-AG16</f>
        <v>0</v>
      </c>
      <c r="AI16" s="208">
        <f>+Tabela8[[#This Row],[Non-Eligible Cost
(5% OH) / Includes VAT at 23% rate]]</f>
        <v>0</v>
      </c>
      <c r="AJ16" s="293">
        <f t="shared" si="1"/>
        <v>0</v>
      </c>
      <c r="AK16" s="293">
        <f t="shared" si="0"/>
        <v>0</v>
      </c>
      <c r="AL16" s="293">
        <f t="shared" si="0"/>
        <v>0</v>
      </c>
      <c r="AM16" s="293">
        <f t="shared" si="0"/>
        <v>0</v>
      </c>
      <c r="AN16" s="293">
        <f t="shared" si="0"/>
        <v>0</v>
      </c>
      <c r="AO16" s="293">
        <f t="shared" si="0"/>
        <v>0</v>
      </c>
      <c r="AP16" s="293">
        <f t="shared" si="0"/>
        <v>0</v>
      </c>
      <c r="AQ16" s="293">
        <f t="shared" si="0"/>
        <v>0</v>
      </c>
      <c r="AR16" s="293">
        <f t="shared" si="0"/>
        <v>0</v>
      </c>
      <c r="AS16" s="293">
        <f t="shared" ref="AS16:AS22" si="3">+U16*$G16</f>
        <v>0</v>
      </c>
      <c r="AT16" s="293">
        <f t="shared" ref="AT16:AT22" si="4">+V16*$G16</f>
        <v>0</v>
      </c>
      <c r="AU16" s="293">
        <f t="shared" ref="AU16:AU22" si="5">+W16*$G16</f>
        <v>0</v>
      </c>
      <c r="AV16" s="293">
        <f t="shared" ref="AV16:AV22" si="6">+X16*$G16</f>
        <v>0</v>
      </c>
      <c r="AW16" s="293">
        <f t="shared" ref="AW16:AW22" si="7">+Y16*$G16</f>
        <v>0</v>
      </c>
      <c r="AX16" s="293">
        <f t="shared" ref="AX16:AX22" si="8">+Z16*$G16</f>
        <v>0</v>
      </c>
      <c r="AY16" s="293">
        <f t="shared" ref="AY16:AY22" si="9">+AA16*$G16</f>
        <v>0</v>
      </c>
      <c r="AZ16" s="293">
        <f t="shared" ref="AZ16:AZ22" si="10">+AB16*$G16</f>
        <v>0</v>
      </c>
      <c r="BA16" s="293">
        <f t="shared" ref="BA16:BA22" si="11">+AC16*$G16</f>
        <v>0</v>
      </c>
      <c r="BB16" s="293">
        <f t="shared" ref="BB16:BB22" si="12">+AD16*$G16</f>
        <v>0</v>
      </c>
      <c r="BC16" s="293">
        <f t="shared" ref="BC16:BC22" si="13">+AE16*$G16</f>
        <v>0</v>
      </c>
      <c r="BD16" s="206" t="str">
        <f>+Tabela8[[#This Row],[Alerts:]]</f>
        <v/>
      </c>
      <c r="BE16" s="592"/>
    </row>
    <row r="17" spans="1:57" ht="16.55" customHeight="1">
      <c r="A17" s="164">
        <f t="shared" si="2"/>
        <v>15</v>
      </c>
      <c r="B17" s="165"/>
      <c r="C17" s="166"/>
      <c r="D17" s="167" t="str">
        <f>IF(C17="","",IF('5.Equipments'!$C17&lt;1000.01,1,""))</f>
        <v/>
      </c>
      <c r="E17" s="167" t="str">
        <f>IF(Tabela8[[#This Row],[Amortization Period 
(Years)]]="","",1)</f>
        <v/>
      </c>
      <c r="F17" s="167" t="str">
        <f>IF(Tabela8[[#This Row],[Acquisition Month]]="","",('1.G.Data'!C$14-Tabela8[[#This Row],[Acquisition Month]]+1))</f>
        <v/>
      </c>
      <c r="G17" s="168">
        <f>IF(Tabela8[[#This Row],[Acquisition Month]]=0,0,Amortizações!O174)</f>
        <v>0</v>
      </c>
      <c r="H17" s="168">
        <f>(Tabela8[[#This Row],[Base Value
(without VAT)*]]-Tabela8[[#This Row],[Eligible Cost
(Value to indicate in the appication) / without VAT]])*1.23</f>
        <v>0</v>
      </c>
      <c r="I17" s="469" t="s">
        <v>0</v>
      </c>
      <c r="J17" s="165"/>
      <c r="K17" s="169" t="str">
        <f>IF(Tabela8[[#This Row],[ EQUIPMENT DESIGNATION]]="","",IF(Tabela8[[#This Row],[Base Value
(without VAT)*]]="","Alert: Fill in Base Value (withhout VAT)",IF(Tabela8[[#This Row],[Institution**]]="","Alert: Fill In Institution",IF(AF17&lt;100%,"Alert: The % of equipment use per task is missing.",""))))</f>
        <v/>
      </c>
      <c r="L17" s="295"/>
      <c r="M17" s="224"/>
      <c r="N17" s="224"/>
      <c r="O17" s="224"/>
      <c r="P17" s="224"/>
      <c r="Q17" s="224"/>
      <c r="R17" s="224"/>
      <c r="S17" s="224"/>
      <c r="T17" s="224"/>
      <c r="U17" s="224"/>
      <c r="V17" s="224"/>
      <c r="W17" s="224"/>
      <c r="X17" s="224"/>
      <c r="Y17" s="224"/>
      <c r="Z17" s="295"/>
      <c r="AA17" s="295"/>
      <c r="AB17" s="295"/>
      <c r="AC17" s="295"/>
      <c r="AD17" s="295"/>
      <c r="AE17" s="295"/>
      <c r="AF17" s="225">
        <f>IF(Tabela8[[#This Row],[Base Value
(without VAT)*]]="",1,((SUM(L17:AE17))))</f>
        <v>1</v>
      </c>
      <c r="AG17" s="208">
        <f>+Tabela8[[#This Row],[Eligible Cost
(Value to indicate in the appication) / without VAT]]*AF17</f>
        <v>0</v>
      </c>
      <c r="AH17" s="208">
        <f>+Tabela8[[#This Row],[Eligible Cost
(Value to indicate in the appication) / without VAT]]-AG17</f>
        <v>0</v>
      </c>
      <c r="AI17" s="208">
        <f>+Tabela8[[#This Row],[Non-Eligible Cost
(5% OH) / Includes VAT at 23% rate]]</f>
        <v>0</v>
      </c>
      <c r="AJ17" s="293">
        <f t="shared" si="1"/>
        <v>0</v>
      </c>
      <c r="AK17" s="293">
        <f t="shared" ref="AK17:AK22" si="14">+M17*$G17</f>
        <v>0</v>
      </c>
      <c r="AL17" s="293">
        <f t="shared" ref="AL17:AL22" si="15">+N17*$G17</f>
        <v>0</v>
      </c>
      <c r="AM17" s="293">
        <f t="shared" ref="AM17:AM22" si="16">+O17*$G17</f>
        <v>0</v>
      </c>
      <c r="AN17" s="293">
        <f t="shared" ref="AN17:AN22" si="17">+P17*$G17</f>
        <v>0</v>
      </c>
      <c r="AO17" s="293">
        <f t="shared" ref="AO17:AO22" si="18">+Q17*$G17</f>
        <v>0</v>
      </c>
      <c r="AP17" s="293">
        <f t="shared" ref="AP17:AP22" si="19">+R17*$G17</f>
        <v>0</v>
      </c>
      <c r="AQ17" s="293">
        <f t="shared" ref="AQ17:AQ22" si="20">+S17*$G17</f>
        <v>0</v>
      </c>
      <c r="AR17" s="293">
        <f t="shared" ref="AR17:AR22" si="21">+T17*$G17</f>
        <v>0</v>
      </c>
      <c r="AS17" s="293">
        <f t="shared" si="3"/>
        <v>0</v>
      </c>
      <c r="AT17" s="293">
        <f t="shared" si="4"/>
        <v>0</v>
      </c>
      <c r="AU17" s="293">
        <f t="shared" si="5"/>
        <v>0</v>
      </c>
      <c r="AV17" s="293">
        <f t="shared" si="6"/>
        <v>0</v>
      </c>
      <c r="AW17" s="293">
        <f t="shared" si="7"/>
        <v>0</v>
      </c>
      <c r="AX17" s="293">
        <f t="shared" si="8"/>
        <v>0</v>
      </c>
      <c r="AY17" s="293">
        <f t="shared" si="9"/>
        <v>0</v>
      </c>
      <c r="AZ17" s="293">
        <f t="shared" si="10"/>
        <v>0</v>
      </c>
      <c r="BA17" s="293">
        <f t="shared" si="11"/>
        <v>0</v>
      </c>
      <c r="BB17" s="293">
        <f t="shared" si="12"/>
        <v>0</v>
      </c>
      <c r="BC17" s="293">
        <f t="shared" si="13"/>
        <v>0</v>
      </c>
      <c r="BD17" s="205" t="str">
        <f>+Tabela8[[#This Row],[Alerts:]]</f>
        <v/>
      </c>
      <c r="BE17" s="591"/>
    </row>
    <row r="18" spans="1:57" ht="16.55" customHeight="1">
      <c r="A18" s="164">
        <f t="shared" si="2"/>
        <v>16</v>
      </c>
      <c r="B18" s="165"/>
      <c r="C18" s="166"/>
      <c r="D18" s="167" t="str">
        <f>IF(C18="","",IF('5.Equipments'!$C18&lt;1000.01,1,""))</f>
        <v/>
      </c>
      <c r="E18" s="167" t="str">
        <f>IF(Tabela8[[#This Row],[Amortization Period 
(Years)]]="","",1)</f>
        <v/>
      </c>
      <c r="F18" s="167"/>
      <c r="G18" s="168">
        <f>IF(Tabela8[[#This Row],[Acquisition Month]]=0,0,Amortizações!O186)</f>
        <v>0</v>
      </c>
      <c r="H18" s="168">
        <f>(Tabela8[[#This Row],[Base Value
(without VAT)*]]-Tabela8[[#This Row],[Eligible Cost
(Value to indicate in the appication) / without VAT]])*1.23</f>
        <v>0</v>
      </c>
      <c r="I18" s="469" t="s">
        <v>0</v>
      </c>
      <c r="J18" s="165"/>
      <c r="K18" s="169" t="str">
        <f>IF(Tabela8[[#This Row],[ EQUIPMENT DESIGNATION]]="","",IF(Tabela8[[#This Row],[Base Value
(without VAT)*]]="","Alert: Fill in Base Value (withhout VAT)",IF(Tabela8[[#This Row],[Institution**]]="","Alert: Fill In Institution",IF(AF18&lt;100%,"Alert: The % of equipment use per task is missing.",""))))</f>
        <v/>
      </c>
      <c r="L18" s="295"/>
      <c r="M18" s="224"/>
      <c r="N18" s="224"/>
      <c r="O18" s="224"/>
      <c r="P18" s="224"/>
      <c r="Q18" s="224"/>
      <c r="R18" s="224"/>
      <c r="S18" s="224"/>
      <c r="T18" s="224"/>
      <c r="U18" s="224"/>
      <c r="V18" s="224"/>
      <c r="W18" s="224"/>
      <c r="X18" s="224"/>
      <c r="Y18" s="224"/>
      <c r="Z18" s="295"/>
      <c r="AA18" s="295"/>
      <c r="AB18" s="295"/>
      <c r="AC18" s="295"/>
      <c r="AD18" s="295"/>
      <c r="AE18" s="295"/>
      <c r="AF18" s="225">
        <f>IF(Tabela8[[#This Row],[Base Value
(without VAT)*]]="",1,((SUM(L18:AE18))))</f>
        <v>1</v>
      </c>
      <c r="AG18" s="208">
        <f>+Tabela8[[#This Row],[Eligible Cost
(Value to indicate in the appication) / without VAT]]*AF18</f>
        <v>0</v>
      </c>
      <c r="AH18" s="208">
        <f>+Tabela8[[#This Row],[Eligible Cost
(Value to indicate in the appication) / without VAT]]-AG18</f>
        <v>0</v>
      </c>
      <c r="AI18" s="208">
        <f>+Tabela8[[#This Row],[Non-Eligible Cost
(5% OH) / Includes VAT at 23% rate]]</f>
        <v>0</v>
      </c>
      <c r="AJ18" s="293">
        <f t="shared" si="1"/>
        <v>0</v>
      </c>
      <c r="AK18" s="293">
        <f t="shared" si="14"/>
        <v>0</v>
      </c>
      <c r="AL18" s="293">
        <f t="shared" si="15"/>
        <v>0</v>
      </c>
      <c r="AM18" s="293">
        <f t="shared" si="16"/>
        <v>0</v>
      </c>
      <c r="AN18" s="293">
        <f t="shared" si="17"/>
        <v>0</v>
      </c>
      <c r="AO18" s="293">
        <f t="shared" si="18"/>
        <v>0</v>
      </c>
      <c r="AP18" s="293">
        <f t="shared" si="19"/>
        <v>0</v>
      </c>
      <c r="AQ18" s="293">
        <f t="shared" si="20"/>
        <v>0</v>
      </c>
      <c r="AR18" s="293">
        <f t="shared" si="21"/>
        <v>0</v>
      </c>
      <c r="AS18" s="293">
        <f t="shared" si="3"/>
        <v>0</v>
      </c>
      <c r="AT18" s="293">
        <f t="shared" si="4"/>
        <v>0</v>
      </c>
      <c r="AU18" s="293">
        <f t="shared" si="5"/>
        <v>0</v>
      </c>
      <c r="AV18" s="293">
        <f t="shared" si="6"/>
        <v>0</v>
      </c>
      <c r="AW18" s="293">
        <f t="shared" si="7"/>
        <v>0</v>
      </c>
      <c r="AX18" s="293">
        <f t="shared" si="8"/>
        <v>0</v>
      </c>
      <c r="AY18" s="293">
        <f t="shared" si="9"/>
        <v>0</v>
      </c>
      <c r="AZ18" s="293">
        <f t="shared" si="10"/>
        <v>0</v>
      </c>
      <c r="BA18" s="293">
        <f t="shared" si="11"/>
        <v>0</v>
      </c>
      <c r="BB18" s="293">
        <f t="shared" si="12"/>
        <v>0</v>
      </c>
      <c r="BC18" s="293">
        <f t="shared" si="13"/>
        <v>0</v>
      </c>
      <c r="BD18" s="206" t="str">
        <f>+Tabela8[[#This Row],[Alerts:]]</f>
        <v/>
      </c>
      <c r="BE18" s="592"/>
    </row>
    <row r="19" spans="1:57" ht="16.55" customHeight="1">
      <c r="A19" s="164">
        <f t="shared" si="2"/>
        <v>17</v>
      </c>
      <c r="B19" s="165"/>
      <c r="C19" s="166"/>
      <c r="D19" s="167" t="str">
        <f>IF(C19="","",IF('5.Equipments'!$C19&lt;1000.01,1,""))</f>
        <v/>
      </c>
      <c r="E19" s="167" t="str">
        <f>IF(Tabela8[[#This Row],[Amortization Period 
(Years)]]="","",1)</f>
        <v/>
      </c>
      <c r="F19" s="167" t="str">
        <f>IF(Tabela8[[#This Row],[Acquisition Month]]="","",('1.G.Data'!C$14-Tabela8[[#This Row],[Acquisition Month]]+1))</f>
        <v/>
      </c>
      <c r="G19" s="168">
        <f>IF(Tabela8[[#This Row],[Acquisition Month]]=0,0,Amortizações!O198)</f>
        <v>0</v>
      </c>
      <c r="H19" s="168">
        <f>(Tabela8[[#This Row],[Base Value
(without VAT)*]]-Tabela8[[#This Row],[Eligible Cost
(Value to indicate in the appication) / without VAT]])*1.23</f>
        <v>0</v>
      </c>
      <c r="I19" s="469" t="s">
        <v>0</v>
      </c>
      <c r="J19" s="165"/>
      <c r="K19" s="169" t="str">
        <f>IF(Tabela8[[#This Row],[ EQUIPMENT DESIGNATION]]="","",IF(Tabela8[[#This Row],[Base Value
(without VAT)*]]="","Alert: Fill in Base Value (withhout VAT)",IF(Tabela8[[#This Row],[Institution**]]="","Alert: Fill In Institution",IF(AF19&lt;100%,"Alert: The % of equipment use per task is missing.",""))))</f>
        <v/>
      </c>
      <c r="L19" s="295"/>
      <c r="M19" s="224"/>
      <c r="N19" s="224"/>
      <c r="O19" s="224"/>
      <c r="P19" s="224"/>
      <c r="Q19" s="224"/>
      <c r="R19" s="224"/>
      <c r="S19" s="224"/>
      <c r="T19" s="224"/>
      <c r="U19" s="224"/>
      <c r="V19" s="224"/>
      <c r="W19" s="224"/>
      <c r="X19" s="224"/>
      <c r="Y19" s="224"/>
      <c r="Z19" s="295"/>
      <c r="AA19" s="295"/>
      <c r="AB19" s="295"/>
      <c r="AC19" s="295"/>
      <c r="AD19" s="295"/>
      <c r="AE19" s="295"/>
      <c r="AF19" s="225">
        <f>IF(Tabela8[[#This Row],[Base Value
(without VAT)*]]="",1,((SUM(L19:AE19))))</f>
        <v>1</v>
      </c>
      <c r="AG19" s="208">
        <f>+Tabela8[[#This Row],[Eligible Cost
(Value to indicate in the appication) / without VAT]]*AF19</f>
        <v>0</v>
      </c>
      <c r="AH19" s="208">
        <f>+Tabela8[[#This Row],[Eligible Cost
(Value to indicate in the appication) / without VAT]]-AG19</f>
        <v>0</v>
      </c>
      <c r="AI19" s="208">
        <f>+Tabela8[[#This Row],[Non-Eligible Cost
(5% OH) / Includes VAT at 23% rate]]</f>
        <v>0</v>
      </c>
      <c r="AJ19" s="293">
        <f t="shared" si="1"/>
        <v>0</v>
      </c>
      <c r="AK19" s="293">
        <f t="shared" si="14"/>
        <v>0</v>
      </c>
      <c r="AL19" s="293">
        <f t="shared" si="15"/>
        <v>0</v>
      </c>
      <c r="AM19" s="293">
        <f t="shared" si="16"/>
        <v>0</v>
      </c>
      <c r="AN19" s="293">
        <f t="shared" si="17"/>
        <v>0</v>
      </c>
      <c r="AO19" s="293">
        <f t="shared" si="18"/>
        <v>0</v>
      </c>
      <c r="AP19" s="293">
        <f t="shared" si="19"/>
        <v>0</v>
      </c>
      <c r="AQ19" s="293">
        <f t="shared" si="20"/>
        <v>0</v>
      </c>
      <c r="AR19" s="293">
        <f t="shared" si="21"/>
        <v>0</v>
      </c>
      <c r="AS19" s="293">
        <f t="shared" si="3"/>
        <v>0</v>
      </c>
      <c r="AT19" s="293">
        <f t="shared" si="4"/>
        <v>0</v>
      </c>
      <c r="AU19" s="293">
        <f t="shared" si="5"/>
        <v>0</v>
      </c>
      <c r="AV19" s="293">
        <f t="shared" si="6"/>
        <v>0</v>
      </c>
      <c r="AW19" s="293">
        <f t="shared" si="7"/>
        <v>0</v>
      </c>
      <c r="AX19" s="293">
        <f t="shared" si="8"/>
        <v>0</v>
      </c>
      <c r="AY19" s="293">
        <f t="shared" si="9"/>
        <v>0</v>
      </c>
      <c r="AZ19" s="293">
        <f t="shared" si="10"/>
        <v>0</v>
      </c>
      <c r="BA19" s="293">
        <f t="shared" si="11"/>
        <v>0</v>
      </c>
      <c r="BB19" s="293">
        <f t="shared" si="12"/>
        <v>0</v>
      </c>
      <c r="BC19" s="293">
        <f t="shared" si="13"/>
        <v>0</v>
      </c>
      <c r="BD19" s="205" t="str">
        <f>+Tabela8[[#This Row],[Alerts:]]</f>
        <v/>
      </c>
      <c r="BE19" s="591"/>
    </row>
    <row r="20" spans="1:57" ht="16.55" customHeight="1">
      <c r="A20" s="164">
        <f t="shared" si="2"/>
        <v>18</v>
      </c>
      <c r="B20" s="165"/>
      <c r="C20" s="166"/>
      <c r="D20" s="167" t="str">
        <f>IF(C20="","",IF('5.Equipments'!$C20&lt;1000.01,1,""))</f>
        <v/>
      </c>
      <c r="E20" s="167" t="str">
        <f>IF(Tabela8[[#This Row],[Amortization Period 
(Years)]]="","",1)</f>
        <v/>
      </c>
      <c r="F20" s="167" t="str">
        <f>IF(Tabela8[[#This Row],[Acquisition Month]]="","",('1.G.Data'!C$14-Tabela8[[#This Row],[Acquisition Month]]+1))</f>
        <v/>
      </c>
      <c r="G20" s="168">
        <f>IF(Tabela8[[#This Row],[Acquisition Month]]=0,0,Amortizações!O210)</f>
        <v>0</v>
      </c>
      <c r="H20" s="168">
        <f>(Tabela8[[#This Row],[Base Value
(without VAT)*]]-Tabela8[[#This Row],[Eligible Cost
(Value to indicate in the appication) / without VAT]])*1.23</f>
        <v>0</v>
      </c>
      <c r="I20" s="469" t="s">
        <v>0</v>
      </c>
      <c r="J20" s="165"/>
      <c r="K20" s="169" t="str">
        <f>IF(Tabela8[[#This Row],[ EQUIPMENT DESIGNATION]]="","",IF(Tabela8[[#This Row],[Base Value
(without VAT)*]]="","Alert: Fill in Base Value (withhout VAT)",IF(Tabela8[[#This Row],[Institution**]]="","Alert: Fill In Institution",IF(AF20&lt;100%,"Alert: The % of equipment use per task is missing.",""))))</f>
        <v/>
      </c>
      <c r="L20" s="295"/>
      <c r="M20" s="224"/>
      <c r="N20" s="224"/>
      <c r="O20" s="224"/>
      <c r="P20" s="224"/>
      <c r="Q20" s="224"/>
      <c r="R20" s="224"/>
      <c r="S20" s="224"/>
      <c r="T20" s="224"/>
      <c r="U20" s="224"/>
      <c r="V20" s="224"/>
      <c r="W20" s="224"/>
      <c r="X20" s="224"/>
      <c r="Y20" s="224"/>
      <c r="Z20" s="295"/>
      <c r="AA20" s="295"/>
      <c r="AB20" s="295"/>
      <c r="AC20" s="295"/>
      <c r="AD20" s="295"/>
      <c r="AE20" s="295"/>
      <c r="AF20" s="225">
        <f>IF(Tabela8[[#This Row],[Base Value
(without VAT)*]]="",1,((SUM(L20:AE20))))</f>
        <v>1</v>
      </c>
      <c r="AG20" s="208">
        <f>+Tabela8[[#This Row],[Eligible Cost
(Value to indicate in the appication) / without VAT]]*AF20</f>
        <v>0</v>
      </c>
      <c r="AH20" s="208">
        <f>+Tabela8[[#This Row],[Eligible Cost
(Value to indicate in the appication) / without VAT]]-AG20</f>
        <v>0</v>
      </c>
      <c r="AI20" s="208">
        <f>+Tabela8[[#This Row],[Non-Eligible Cost
(5% OH) / Includes VAT at 23% rate]]</f>
        <v>0</v>
      </c>
      <c r="AJ20" s="293">
        <f t="shared" si="1"/>
        <v>0</v>
      </c>
      <c r="AK20" s="293">
        <f t="shared" si="14"/>
        <v>0</v>
      </c>
      <c r="AL20" s="293">
        <f t="shared" si="15"/>
        <v>0</v>
      </c>
      <c r="AM20" s="293">
        <f t="shared" si="16"/>
        <v>0</v>
      </c>
      <c r="AN20" s="293">
        <f t="shared" si="17"/>
        <v>0</v>
      </c>
      <c r="AO20" s="293">
        <f t="shared" si="18"/>
        <v>0</v>
      </c>
      <c r="AP20" s="293">
        <f t="shared" si="19"/>
        <v>0</v>
      </c>
      <c r="AQ20" s="293">
        <f t="shared" si="20"/>
        <v>0</v>
      </c>
      <c r="AR20" s="293">
        <f t="shared" si="21"/>
        <v>0</v>
      </c>
      <c r="AS20" s="293">
        <f t="shared" si="3"/>
        <v>0</v>
      </c>
      <c r="AT20" s="293">
        <f t="shared" si="4"/>
        <v>0</v>
      </c>
      <c r="AU20" s="293">
        <f t="shared" si="5"/>
        <v>0</v>
      </c>
      <c r="AV20" s="293">
        <f t="shared" si="6"/>
        <v>0</v>
      </c>
      <c r="AW20" s="293">
        <f t="shared" si="7"/>
        <v>0</v>
      </c>
      <c r="AX20" s="293">
        <f t="shared" si="8"/>
        <v>0</v>
      </c>
      <c r="AY20" s="293">
        <f t="shared" si="9"/>
        <v>0</v>
      </c>
      <c r="AZ20" s="293">
        <f t="shared" si="10"/>
        <v>0</v>
      </c>
      <c r="BA20" s="293">
        <f t="shared" si="11"/>
        <v>0</v>
      </c>
      <c r="BB20" s="293">
        <f t="shared" si="12"/>
        <v>0</v>
      </c>
      <c r="BC20" s="293">
        <f t="shared" si="13"/>
        <v>0</v>
      </c>
      <c r="BD20" s="206" t="str">
        <f>+Tabela8[[#This Row],[Alerts:]]</f>
        <v/>
      </c>
      <c r="BE20" s="592"/>
    </row>
    <row r="21" spans="1:57" ht="16.55" customHeight="1">
      <c r="A21" s="164">
        <f t="shared" si="2"/>
        <v>19</v>
      </c>
      <c r="B21" s="165"/>
      <c r="C21" s="166"/>
      <c r="D21" s="167" t="str">
        <f>IF(C21="","",IF('5.Equipments'!$C21&lt;1000.01,1,""))</f>
        <v/>
      </c>
      <c r="E21" s="167" t="str">
        <f>IF(Tabela8[[#This Row],[Amortization Period 
(Years)]]="","",1)</f>
        <v/>
      </c>
      <c r="F21" s="167" t="str">
        <f>IF(Tabela8[[#This Row],[Acquisition Month]]="","",('1.G.Data'!C$14-Tabela8[[#This Row],[Acquisition Month]]+1))</f>
        <v/>
      </c>
      <c r="G21" s="168">
        <f>IF(Tabela8[[#This Row],[Acquisition Month]]=0,0,Amortizações!O222)</f>
        <v>0</v>
      </c>
      <c r="H21" s="168">
        <f>(Tabela8[[#This Row],[Base Value
(without VAT)*]]-Tabela8[[#This Row],[Eligible Cost
(Value to indicate in the appication) / without VAT]])*1.23</f>
        <v>0</v>
      </c>
      <c r="I21" s="469" t="s">
        <v>0</v>
      </c>
      <c r="J21" s="165"/>
      <c r="K21" s="169" t="str">
        <f>IF(Tabela8[[#This Row],[ EQUIPMENT DESIGNATION]]="","",IF(Tabela8[[#This Row],[Base Value
(without VAT)*]]="","Alert: Fill in Base Value (withhout VAT)",IF(Tabela8[[#This Row],[Institution**]]="","Alert: Fill In Institution",IF(AF21&lt;100%,"Alert: The % of equipment use per task is missing.",""))))</f>
        <v/>
      </c>
      <c r="L21" s="295"/>
      <c r="M21" s="224"/>
      <c r="N21" s="224"/>
      <c r="O21" s="224"/>
      <c r="P21" s="224"/>
      <c r="Q21" s="224"/>
      <c r="R21" s="224"/>
      <c r="S21" s="224"/>
      <c r="T21" s="224"/>
      <c r="U21" s="224"/>
      <c r="V21" s="224"/>
      <c r="W21" s="224"/>
      <c r="X21" s="224"/>
      <c r="Y21" s="224"/>
      <c r="Z21" s="295"/>
      <c r="AA21" s="295"/>
      <c r="AB21" s="295"/>
      <c r="AC21" s="295"/>
      <c r="AD21" s="295"/>
      <c r="AE21" s="295"/>
      <c r="AF21" s="225">
        <f>IF(Tabela8[[#This Row],[Base Value
(without VAT)*]]="",1,((SUM(L21:AE21))))</f>
        <v>1</v>
      </c>
      <c r="AG21" s="208">
        <f>+Tabela8[[#This Row],[Eligible Cost
(Value to indicate in the appication) / without VAT]]*AF21</f>
        <v>0</v>
      </c>
      <c r="AH21" s="208">
        <f>+Tabela8[[#This Row],[Eligible Cost
(Value to indicate in the appication) / without VAT]]-AG21</f>
        <v>0</v>
      </c>
      <c r="AI21" s="208">
        <f>+Tabela8[[#This Row],[Non-Eligible Cost
(5% OH) / Includes VAT at 23% rate]]</f>
        <v>0</v>
      </c>
      <c r="AJ21" s="293">
        <f t="shared" si="1"/>
        <v>0</v>
      </c>
      <c r="AK21" s="293">
        <f t="shared" si="14"/>
        <v>0</v>
      </c>
      <c r="AL21" s="293">
        <f t="shared" si="15"/>
        <v>0</v>
      </c>
      <c r="AM21" s="293">
        <f t="shared" si="16"/>
        <v>0</v>
      </c>
      <c r="AN21" s="293">
        <f t="shared" si="17"/>
        <v>0</v>
      </c>
      <c r="AO21" s="293">
        <f t="shared" si="18"/>
        <v>0</v>
      </c>
      <c r="AP21" s="293">
        <f t="shared" si="19"/>
        <v>0</v>
      </c>
      <c r="AQ21" s="293">
        <f t="shared" si="20"/>
        <v>0</v>
      </c>
      <c r="AR21" s="293">
        <f t="shared" si="21"/>
        <v>0</v>
      </c>
      <c r="AS21" s="293">
        <f t="shared" si="3"/>
        <v>0</v>
      </c>
      <c r="AT21" s="293">
        <f t="shared" si="4"/>
        <v>0</v>
      </c>
      <c r="AU21" s="293">
        <f t="shared" si="5"/>
        <v>0</v>
      </c>
      <c r="AV21" s="293">
        <f t="shared" si="6"/>
        <v>0</v>
      </c>
      <c r="AW21" s="293">
        <f t="shared" si="7"/>
        <v>0</v>
      </c>
      <c r="AX21" s="293">
        <f t="shared" si="8"/>
        <v>0</v>
      </c>
      <c r="AY21" s="293">
        <f t="shared" si="9"/>
        <v>0</v>
      </c>
      <c r="AZ21" s="293">
        <f t="shared" si="10"/>
        <v>0</v>
      </c>
      <c r="BA21" s="293">
        <f t="shared" si="11"/>
        <v>0</v>
      </c>
      <c r="BB21" s="293">
        <f t="shared" si="12"/>
        <v>0</v>
      </c>
      <c r="BC21" s="293">
        <f t="shared" si="13"/>
        <v>0</v>
      </c>
      <c r="BD21" s="205" t="str">
        <f>+Tabela8[[#This Row],[Alerts:]]</f>
        <v/>
      </c>
      <c r="BE21" s="591"/>
    </row>
    <row r="22" spans="1:57" ht="16.55" customHeight="1">
      <c r="A22" s="164">
        <f t="shared" si="2"/>
        <v>20</v>
      </c>
      <c r="B22" s="165"/>
      <c r="C22" s="166"/>
      <c r="D22" s="167" t="str">
        <f>IF(C22="","",IF('5.Equipments'!$C22&lt;1000.01,1,""))</f>
        <v/>
      </c>
      <c r="E22" s="167" t="str">
        <f>IF(Tabela8[[#This Row],[Amortization Period 
(Years)]]="","",1)</f>
        <v/>
      </c>
      <c r="F22" s="167" t="str">
        <f>IF(Tabela8[[#This Row],[Acquisition Month]]="","",('1.G.Data'!C$14-Tabela8[[#This Row],[Acquisition Month]]+1))</f>
        <v/>
      </c>
      <c r="G22" s="168">
        <f>IF(Tabela8[[#This Row],[Acquisition Month]]=0,0,Amortizações!O234)</f>
        <v>0</v>
      </c>
      <c r="H22" s="168">
        <f>(Tabela8[[#This Row],[Base Value
(without VAT)*]]-Tabela8[[#This Row],[Eligible Cost
(Value to indicate in the appication) / without VAT]])*1.23</f>
        <v>0</v>
      </c>
      <c r="I22" s="469" t="s">
        <v>0</v>
      </c>
      <c r="J22" s="165"/>
      <c r="K22" s="169" t="str">
        <f>IF(Tabela8[[#This Row],[ EQUIPMENT DESIGNATION]]="","",IF(Tabela8[[#This Row],[Base Value
(without VAT)*]]="","Alert: Fill in Base Value (withhout VAT)",IF(Tabela8[[#This Row],[Institution**]]="","Alert: Fill In Institution",IF(AF22&lt;100%,"Alert: The % of equipment use per task is missing.",""))))</f>
        <v/>
      </c>
      <c r="L22" s="295"/>
      <c r="M22" s="224"/>
      <c r="N22" s="224"/>
      <c r="O22" s="224"/>
      <c r="P22" s="224"/>
      <c r="Q22" s="224"/>
      <c r="R22" s="224"/>
      <c r="S22" s="224"/>
      <c r="T22" s="224"/>
      <c r="U22" s="224"/>
      <c r="V22" s="224"/>
      <c r="W22" s="224"/>
      <c r="X22" s="224"/>
      <c r="Y22" s="224"/>
      <c r="Z22" s="295"/>
      <c r="AA22" s="295"/>
      <c r="AB22" s="295"/>
      <c r="AC22" s="295"/>
      <c r="AD22" s="295"/>
      <c r="AE22" s="295"/>
      <c r="AF22" s="225">
        <f>IF(Tabela8[[#This Row],[Base Value
(without VAT)*]]="",1,((SUM(L22:AE22))))</f>
        <v>1</v>
      </c>
      <c r="AG22" s="208">
        <f>+Tabela8[[#This Row],[Eligible Cost
(Value to indicate in the appication) / without VAT]]*AF22</f>
        <v>0</v>
      </c>
      <c r="AH22" s="208">
        <f>+Tabela8[[#This Row],[Eligible Cost
(Value to indicate in the appication) / without VAT]]-AG22</f>
        <v>0</v>
      </c>
      <c r="AI22" s="208">
        <f>+Tabela8[[#This Row],[Non-Eligible Cost
(5% OH) / Includes VAT at 23% rate]]</f>
        <v>0</v>
      </c>
      <c r="AJ22" s="293">
        <f t="shared" si="1"/>
        <v>0</v>
      </c>
      <c r="AK22" s="293">
        <f t="shared" si="14"/>
        <v>0</v>
      </c>
      <c r="AL22" s="293">
        <f t="shared" si="15"/>
        <v>0</v>
      </c>
      <c r="AM22" s="293">
        <f t="shared" si="16"/>
        <v>0</v>
      </c>
      <c r="AN22" s="293">
        <f t="shared" si="17"/>
        <v>0</v>
      </c>
      <c r="AO22" s="293">
        <f t="shared" si="18"/>
        <v>0</v>
      </c>
      <c r="AP22" s="293">
        <f t="shared" si="19"/>
        <v>0</v>
      </c>
      <c r="AQ22" s="293">
        <f t="shared" si="20"/>
        <v>0</v>
      </c>
      <c r="AR22" s="293">
        <f t="shared" si="21"/>
        <v>0</v>
      </c>
      <c r="AS22" s="293">
        <f t="shared" si="3"/>
        <v>0</v>
      </c>
      <c r="AT22" s="293">
        <f t="shared" si="4"/>
        <v>0</v>
      </c>
      <c r="AU22" s="293">
        <f t="shared" si="5"/>
        <v>0</v>
      </c>
      <c r="AV22" s="293">
        <f t="shared" si="6"/>
        <v>0</v>
      </c>
      <c r="AW22" s="293">
        <f t="shared" si="7"/>
        <v>0</v>
      </c>
      <c r="AX22" s="293">
        <f t="shared" si="8"/>
        <v>0</v>
      </c>
      <c r="AY22" s="293">
        <f t="shared" si="9"/>
        <v>0</v>
      </c>
      <c r="AZ22" s="293">
        <f t="shared" si="10"/>
        <v>0</v>
      </c>
      <c r="BA22" s="293">
        <f t="shared" si="11"/>
        <v>0</v>
      </c>
      <c r="BB22" s="293">
        <f t="shared" si="12"/>
        <v>0</v>
      </c>
      <c r="BC22" s="293">
        <f t="shared" si="13"/>
        <v>0</v>
      </c>
      <c r="BD22" s="206" t="str">
        <f>+Tabela8[[#This Row],[Alerts:]]</f>
        <v/>
      </c>
      <c r="BE22" s="592"/>
    </row>
    <row r="23" spans="1:57" ht="16.55" customHeight="1">
      <c r="A23" s="479" t="s">
        <v>45</v>
      </c>
      <c r="C23" s="170">
        <f>SUBTOTAL(109,Tabela8[Base Value
(without VAT)*])</f>
        <v>0</v>
      </c>
      <c r="D23" s="479"/>
      <c r="E23" s="479"/>
      <c r="F23" s="479"/>
      <c r="G23" s="171">
        <f>SUBTOTAL(109,Tabela8[Eligible Cost
(Value to indicate in the appication) / without VAT])</f>
        <v>0</v>
      </c>
      <c r="H23" s="172">
        <f>SUBTOTAL(109,Tabela8[Non-Eligible Cost
(5% OH) / Includes VAT at 23% rate])</f>
        <v>0</v>
      </c>
      <c r="I23" s="479"/>
      <c r="L23" s="225"/>
      <c r="M23" s="226"/>
      <c r="N23" s="226"/>
      <c r="O23" s="226"/>
      <c r="P23" s="226"/>
      <c r="Q23" s="226"/>
      <c r="R23" s="226"/>
      <c r="S23" s="226"/>
      <c r="T23" s="226"/>
      <c r="U23" s="226"/>
      <c r="V23" s="226"/>
      <c r="W23" s="226"/>
      <c r="X23" s="226"/>
      <c r="Y23" s="226"/>
      <c r="Z23" s="227"/>
      <c r="AA23" s="227"/>
      <c r="AB23" s="227"/>
      <c r="AC23" s="227"/>
      <c r="AD23" s="227"/>
      <c r="AE23" s="227"/>
      <c r="AF23" s="227"/>
      <c r="AG23" s="209">
        <f>SUM(AG3:AG22)</f>
        <v>0</v>
      </c>
      <c r="AH23" s="209">
        <f t="shared" ref="AH23:AI23" si="22">SUM(AH3:AH22)</f>
        <v>0</v>
      </c>
      <c r="AI23" s="209">
        <f t="shared" si="22"/>
        <v>0</v>
      </c>
      <c r="AJ23" s="185">
        <f>SUM(AJ3:AJ22)</f>
        <v>0</v>
      </c>
      <c r="AK23" s="185">
        <f t="shared" ref="AK23:BC23" si="23">SUM(AK3:AK22)</f>
        <v>0</v>
      </c>
      <c r="AL23" s="185">
        <f t="shared" si="23"/>
        <v>0</v>
      </c>
      <c r="AM23" s="185">
        <f t="shared" si="23"/>
        <v>0</v>
      </c>
      <c r="AN23" s="185">
        <f t="shared" si="23"/>
        <v>0</v>
      </c>
      <c r="AO23" s="185">
        <f t="shared" si="23"/>
        <v>0</v>
      </c>
      <c r="AP23" s="185">
        <f t="shared" si="23"/>
        <v>0</v>
      </c>
      <c r="AQ23" s="185">
        <f t="shared" si="23"/>
        <v>0</v>
      </c>
      <c r="AR23" s="185">
        <f t="shared" si="23"/>
        <v>0</v>
      </c>
      <c r="AS23" s="185">
        <f t="shared" si="23"/>
        <v>0</v>
      </c>
      <c r="AT23" s="185">
        <f t="shared" si="23"/>
        <v>0</v>
      </c>
      <c r="AU23" s="185">
        <f t="shared" si="23"/>
        <v>0</v>
      </c>
      <c r="AV23" s="185">
        <f t="shared" si="23"/>
        <v>0</v>
      </c>
      <c r="AW23" s="185">
        <f t="shared" si="23"/>
        <v>0</v>
      </c>
      <c r="AX23" s="185">
        <f t="shared" si="23"/>
        <v>0</v>
      </c>
      <c r="AY23" s="185">
        <f t="shared" si="23"/>
        <v>0</v>
      </c>
      <c r="AZ23" s="185">
        <f t="shared" si="23"/>
        <v>0</v>
      </c>
      <c r="BA23" s="185">
        <f t="shared" si="23"/>
        <v>0</v>
      </c>
      <c r="BB23" s="185">
        <f t="shared" si="23"/>
        <v>0</v>
      </c>
      <c r="BC23" s="185">
        <f t="shared" si="23"/>
        <v>0</v>
      </c>
    </row>
    <row r="24" spans="1:57" ht="7.4" customHeight="1" thickBot="1">
      <c r="L24" s="110"/>
      <c r="M24" s="110"/>
      <c r="N24" s="110"/>
      <c r="O24" s="110"/>
      <c r="P24" s="110"/>
      <c r="Q24" s="110"/>
      <c r="R24" s="110"/>
      <c r="S24" s="110"/>
      <c r="T24" s="110"/>
      <c r="U24" s="110"/>
      <c r="V24" s="110"/>
      <c r="W24" s="110"/>
      <c r="X24" s="110"/>
      <c r="Y24" s="110"/>
    </row>
    <row r="25" spans="1:57" s="174" customFormat="1" ht="18" customHeight="1" thickTop="1" thickBot="1">
      <c r="A25" s="764" t="s">
        <v>844</v>
      </c>
      <c r="B25" s="764"/>
      <c r="C25" s="764"/>
      <c r="D25" s="764"/>
      <c r="E25" s="169"/>
      <c r="F25" s="169"/>
      <c r="G25" s="767" t="s">
        <v>692</v>
      </c>
      <c r="H25" s="768"/>
      <c r="I25" s="354">
        <f ca="1">+'7.Budget'!U40</f>
        <v>0</v>
      </c>
      <c r="J25" s="169"/>
      <c r="K25" s="169"/>
      <c r="L25" s="173"/>
      <c r="M25" s="173"/>
      <c r="N25" s="173"/>
      <c r="O25" s="173"/>
      <c r="P25" s="173"/>
      <c r="Q25" s="173"/>
      <c r="R25" s="173"/>
      <c r="S25" s="173"/>
      <c r="T25" s="173"/>
      <c r="U25" s="173"/>
      <c r="V25" s="173"/>
      <c r="W25" s="173"/>
      <c r="X25" s="173"/>
      <c r="Y25" s="173"/>
    </row>
    <row r="26" spans="1:57" ht="36.85" customHeight="1" thickTop="1" thickBot="1">
      <c r="A26" s="175" t="s">
        <v>335</v>
      </c>
      <c r="B26" s="175" t="s">
        <v>336</v>
      </c>
      <c r="C26" s="176" t="s">
        <v>337</v>
      </c>
      <c r="D26" s="175" t="s">
        <v>338</v>
      </c>
      <c r="E26" s="174"/>
      <c r="F26" s="174"/>
      <c r="G26" s="769"/>
      <c r="H26" s="770"/>
      <c r="I26" s="771"/>
      <c r="J26" s="177"/>
      <c r="L26" s="110"/>
      <c r="M26" s="110"/>
      <c r="N26" s="110"/>
      <c r="O26" s="110"/>
      <c r="P26" s="110"/>
      <c r="Q26" s="110"/>
      <c r="R26" s="110"/>
      <c r="S26" s="110"/>
      <c r="T26" s="110"/>
      <c r="U26" s="110"/>
      <c r="V26" s="110"/>
      <c r="W26" s="110"/>
      <c r="X26" s="110"/>
      <c r="Y26" s="110"/>
    </row>
    <row r="27" spans="1:57" ht="16.399999999999999" thickTop="1" thickBot="1">
      <c r="A27" s="164" t="s">
        <v>41</v>
      </c>
      <c r="B27" s="178" t="s">
        <v>339</v>
      </c>
      <c r="C27" s="164">
        <v>5</v>
      </c>
      <c r="D27" s="178"/>
      <c r="G27" s="769"/>
      <c r="H27" s="770"/>
      <c r="I27" s="771"/>
      <c r="J27" s="761"/>
      <c r="L27" s="110"/>
      <c r="M27" s="110"/>
      <c r="N27" s="110"/>
      <c r="O27" s="110"/>
      <c r="P27" s="110"/>
      <c r="Q27" s="110"/>
      <c r="R27" s="110"/>
      <c r="S27" s="110"/>
      <c r="T27" s="110"/>
      <c r="U27" s="110"/>
      <c r="V27" s="110"/>
      <c r="W27" s="110"/>
      <c r="X27" s="110"/>
      <c r="Y27" s="110"/>
    </row>
    <row r="28" spans="1:57" ht="15.75" thickTop="1">
      <c r="A28" s="164" t="s">
        <v>41</v>
      </c>
      <c r="B28" s="178" t="s">
        <v>340</v>
      </c>
      <c r="C28" s="164">
        <v>5</v>
      </c>
      <c r="D28" s="178"/>
      <c r="J28" s="761"/>
      <c r="L28" s="110"/>
      <c r="M28" s="110"/>
      <c r="N28" s="110"/>
      <c r="O28" s="110"/>
      <c r="P28" s="110"/>
      <c r="Q28" s="110"/>
      <c r="R28" s="110"/>
      <c r="S28" s="110"/>
      <c r="T28" s="110"/>
      <c r="U28" s="110"/>
      <c r="V28" s="110"/>
      <c r="W28" s="110"/>
      <c r="X28" s="110"/>
      <c r="Y28" s="110"/>
    </row>
    <row r="29" spans="1:57">
      <c r="A29" s="164" t="s">
        <v>41</v>
      </c>
      <c r="B29" s="178" t="s">
        <v>341</v>
      </c>
      <c r="C29" s="164">
        <v>7</v>
      </c>
      <c r="D29" s="178"/>
      <c r="G29" s="230" t="s">
        <v>333</v>
      </c>
      <c r="H29" s="230"/>
      <c r="I29" s="230"/>
      <c r="J29" s="761"/>
      <c r="L29" s="110"/>
      <c r="M29" s="110"/>
      <c r="N29" s="110"/>
      <c r="O29" s="110"/>
      <c r="P29" s="110"/>
      <c r="Q29" s="110"/>
      <c r="R29" s="110"/>
      <c r="S29" s="110"/>
      <c r="T29" s="110"/>
      <c r="U29" s="110"/>
      <c r="V29" s="110"/>
      <c r="W29" s="110"/>
      <c r="X29" s="110"/>
      <c r="Y29" s="110"/>
    </row>
    <row r="30" spans="1:57" ht="18" customHeight="1">
      <c r="A30" s="164" t="s">
        <v>41</v>
      </c>
      <c r="B30" s="178" t="s">
        <v>342</v>
      </c>
      <c r="C30" s="164">
        <v>5</v>
      </c>
      <c r="D30" s="178"/>
      <c r="G30" s="760"/>
      <c r="H30" s="760"/>
      <c r="I30" s="760"/>
      <c r="J30" s="761"/>
      <c r="L30" s="110"/>
      <c r="M30" s="110"/>
      <c r="N30" s="110"/>
      <c r="O30" s="110"/>
      <c r="P30" s="110"/>
      <c r="Q30" s="110"/>
      <c r="R30" s="110"/>
      <c r="S30" s="110"/>
      <c r="T30" s="110"/>
      <c r="U30" s="110"/>
      <c r="V30" s="110"/>
      <c r="W30" s="110"/>
      <c r="X30" s="110"/>
      <c r="Y30" s="110"/>
    </row>
    <row r="31" spans="1:57" ht="15.05" customHeight="1">
      <c r="A31" s="164" t="s">
        <v>41</v>
      </c>
      <c r="B31" s="178" t="s">
        <v>343</v>
      </c>
      <c r="C31" s="164">
        <v>4</v>
      </c>
      <c r="D31" s="178"/>
      <c r="G31" s="760"/>
      <c r="H31" s="760"/>
      <c r="I31" s="760"/>
      <c r="J31" s="761"/>
      <c r="L31" s="110"/>
      <c r="M31" s="110"/>
      <c r="N31" s="110"/>
      <c r="O31" s="110"/>
      <c r="P31" s="110"/>
      <c r="Q31" s="110"/>
      <c r="R31" s="110"/>
      <c r="S31" s="110"/>
      <c r="T31" s="110"/>
      <c r="U31" s="110"/>
      <c r="V31" s="110"/>
      <c r="W31" s="110"/>
      <c r="X31" s="110"/>
      <c r="Y31" s="110"/>
    </row>
    <row r="32" spans="1:57">
      <c r="A32" s="164" t="s">
        <v>41</v>
      </c>
      <c r="B32" s="178" t="s">
        <v>344</v>
      </c>
      <c r="C32" s="164">
        <v>8</v>
      </c>
      <c r="D32" s="178"/>
      <c r="G32" s="760"/>
      <c r="H32" s="760"/>
      <c r="I32" s="760"/>
      <c r="J32" s="761"/>
      <c r="L32" s="110"/>
      <c r="M32" s="110"/>
      <c r="N32" s="110"/>
      <c r="O32" s="110"/>
      <c r="P32" s="110"/>
      <c r="Q32" s="110"/>
      <c r="R32" s="110"/>
      <c r="S32" s="110"/>
      <c r="T32" s="110"/>
      <c r="U32" s="110"/>
      <c r="V32" s="110"/>
      <c r="W32" s="110"/>
      <c r="X32" s="110"/>
      <c r="Y32" s="110"/>
    </row>
    <row r="33" spans="1:25" ht="15.05" customHeight="1">
      <c r="A33" s="164" t="s">
        <v>41</v>
      </c>
      <c r="B33" s="178" t="s">
        <v>345</v>
      </c>
      <c r="C33" s="164">
        <v>7</v>
      </c>
      <c r="D33" s="178"/>
      <c r="G33" s="760"/>
      <c r="H33" s="760"/>
      <c r="I33" s="760"/>
      <c r="J33" s="761"/>
      <c r="L33" s="110"/>
      <c r="M33" s="110"/>
      <c r="N33" s="110"/>
      <c r="O33" s="110"/>
      <c r="P33" s="110"/>
      <c r="Q33" s="110"/>
      <c r="R33" s="110"/>
      <c r="S33" s="110"/>
      <c r="T33" s="110"/>
      <c r="U33" s="110"/>
      <c r="V33" s="110"/>
      <c r="W33" s="110"/>
      <c r="X33" s="110"/>
      <c r="Y33" s="110"/>
    </row>
    <row r="34" spans="1:25">
      <c r="A34" s="164" t="s">
        <v>41</v>
      </c>
      <c r="B34" s="178" t="s">
        <v>346</v>
      </c>
      <c r="C34" s="164">
        <v>8</v>
      </c>
      <c r="D34" s="178"/>
      <c r="G34" s="760"/>
      <c r="H34" s="760"/>
      <c r="I34" s="760"/>
      <c r="J34" s="761"/>
      <c r="L34" s="110"/>
      <c r="M34" s="110"/>
      <c r="N34" s="110"/>
      <c r="O34" s="110"/>
      <c r="P34" s="110"/>
      <c r="Q34" s="110"/>
      <c r="R34" s="110"/>
      <c r="S34" s="110"/>
      <c r="T34" s="110"/>
      <c r="U34" s="110"/>
      <c r="V34" s="110"/>
      <c r="W34" s="110"/>
      <c r="X34" s="110"/>
      <c r="Y34" s="110"/>
    </row>
    <row r="35" spans="1:25" ht="15.05" customHeight="1">
      <c r="A35" s="164" t="s">
        <v>41</v>
      </c>
      <c r="B35" s="178" t="s">
        <v>347</v>
      </c>
      <c r="C35" s="164">
        <v>5</v>
      </c>
      <c r="D35" s="178"/>
      <c r="G35" s="760"/>
      <c r="H35" s="760"/>
      <c r="I35" s="760"/>
      <c r="L35" s="110"/>
      <c r="M35" s="110"/>
      <c r="N35" s="110"/>
      <c r="O35" s="110"/>
      <c r="P35" s="110"/>
      <c r="Q35" s="110"/>
      <c r="R35" s="110"/>
      <c r="S35" s="110"/>
      <c r="T35" s="110"/>
      <c r="U35" s="110"/>
      <c r="V35" s="110"/>
      <c r="W35" s="110"/>
      <c r="X35" s="110"/>
      <c r="Y35" s="110"/>
    </row>
    <row r="36" spans="1:25">
      <c r="A36" s="164" t="s">
        <v>41</v>
      </c>
      <c r="B36" s="178" t="s">
        <v>348</v>
      </c>
      <c r="C36" s="164">
        <v>8</v>
      </c>
      <c r="D36" s="178"/>
      <c r="G36" s="760"/>
      <c r="H36" s="760"/>
      <c r="I36" s="760"/>
      <c r="L36" s="110"/>
      <c r="M36" s="110"/>
      <c r="N36" s="110"/>
      <c r="O36" s="110"/>
      <c r="P36" s="110"/>
      <c r="Q36" s="110"/>
      <c r="R36" s="110"/>
      <c r="S36" s="110"/>
      <c r="T36" s="110"/>
      <c r="U36" s="110"/>
      <c r="V36" s="110"/>
      <c r="W36" s="110"/>
      <c r="X36" s="110"/>
      <c r="Y36" s="110"/>
    </row>
    <row r="37" spans="1:25" ht="15.05" customHeight="1">
      <c r="A37" s="164" t="s">
        <v>41</v>
      </c>
      <c r="B37" s="178" t="s">
        <v>349</v>
      </c>
      <c r="C37" s="164">
        <v>4</v>
      </c>
      <c r="D37" s="178"/>
      <c r="G37" s="760"/>
      <c r="H37" s="760"/>
      <c r="I37" s="760"/>
      <c r="L37" s="110"/>
      <c r="M37" s="110"/>
      <c r="N37" s="110"/>
      <c r="O37" s="110"/>
      <c r="P37" s="110"/>
      <c r="Q37" s="110"/>
      <c r="R37" s="110"/>
      <c r="S37" s="110"/>
      <c r="T37" s="110"/>
      <c r="U37" s="110"/>
      <c r="V37" s="110"/>
      <c r="W37" s="110"/>
      <c r="X37" s="110"/>
      <c r="Y37" s="110"/>
    </row>
    <row r="38" spans="1:25">
      <c r="A38" s="164" t="s">
        <v>41</v>
      </c>
      <c r="B38" s="178" t="s">
        <v>350</v>
      </c>
      <c r="C38" s="164">
        <v>8</v>
      </c>
      <c r="D38" s="178"/>
      <c r="G38" s="760"/>
      <c r="H38" s="760"/>
      <c r="I38" s="760"/>
      <c r="L38" s="110"/>
      <c r="M38" s="110"/>
      <c r="N38" s="110"/>
      <c r="O38" s="110"/>
      <c r="P38" s="110"/>
      <c r="Q38" s="110"/>
      <c r="R38" s="110"/>
      <c r="S38" s="110"/>
      <c r="T38" s="110"/>
      <c r="U38" s="110"/>
      <c r="V38" s="110"/>
      <c r="W38" s="110"/>
      <c r="X38" s="110"/>
      <c r="Y38" s="110"/>
    </row>
    <row r="39" spans="1:25">
      <c r="A39" s="164" t="s">
        <v>41</v>
      </c>
      <c r="B39" s="178" t="s">
        <v>351</v>
      </c>
      <c r="C39" s="164">
        <v>4</v>
      </c>
      <c r="D39" s="178"/>
      <c r="G39" s="760"/>
      <c r="H39" s="760"/>
      <c r="I39" s="760"/>
      <c r="L39" s="110"/>
      <c r="M39" s="110"/>
      <c r="N39" s="110"/>
      <c r="O39" s="110"/>
      <c r="P39" s="110"/>
      <c r="Q39" s="110"/>
      <c r="R39" s="110"/>
      <c r="S39" s="110"/>
      <c r="T39" s="110"/>
      <c r="U39" s="110"/>
      <c r="V39" s="110"/>
      <c r="W39" s="110"/>
      <c r="X39" s="110"/>
      <c r="Y39" s="110"/>
    </row>
    <row r="40" spans="1:25">
      <c r="A40" s="164" t="s">
        <v>41</v>
      </c>
      <c r="B40" s="178" t="s">
        <v>352</v>
      </c>
      <c r="C40" s="164">
        <v>5</v>
      </c>
      <c r="D40" s="178"/>
      <c r="L40" s="110"/>
      <c r="M40" s="110"/>
      <c r="N40" s="110"/>
      <c r="O40" s="110"/>
      <c r="P40" s="110"/>
      <c r="Q40" s="110"/>
      <c r="R40" s="110"/>
      <c r="S40" s="110"/>
      <c r="T40" s="110"/>
      <c r="U40" s="110"/>
      <c r="V40" s="110"/>
      <c r="W40" s="110"/>
      <c r="X40" s="110"/>
      <c r="Y40" s="110"/>
    </row>
    <row r="41" spans="1:25">
      <c r="A41" s="164" t="s">
        <v>41</v>
      </c>
      <c r="B41" s="178" t="s">
        <v>353</v>
      </c>
      <c r="C41" s="164">
        <v>7</v>
      </c>
      <c r="D41" s="178"/>
      <c r="L41" s="110"/>
      <c r="M41" s="110"/>
      <c r="N41" s="110"/>
      <c r="O41" s="110"/>
      <c r="P41" s="110"/>
      <c r="Q41" s="110"/>
      <c r="R41" s="110"/>
      <c r="S41" s="110"/>
      <c r="T41" s="110"/>
      <c r="U41" s="110"/>
      <c r="V41" s="110"/>
      <c r="W41" s="110"/>
      <c r="X41" s="110"/>
      <c r="Y41" s="110"/>
    </row>
    <row r="42" spans="1:25">
      <c r="A42" s="164" t="s">
        <v>41</v>
      </c>
      <c r="B42" s="178" t="s">
        <v>354</v>
      </c>
      <c r="C42" s="164">
        <v>5</v>
      </c>
      <c r="D42" s="178"/>
      <c r="L42" s="110"/>
      <c r="M42" s="110"/>
      <c r="N42" s="110"/>
      <c r="O42" s="110"/>
      <c r="P42" s="110"/>
      <c r="Q42" s="110"/>
      <c r="R42" s="110"/>
      <c r="S42" s="110"/>
      <c r="T42" s="110"/>
      <c r="U42" s="110"/>
      <c r="V42" s="110"/>
      <c r="W42" s="110"/>
      <c r="X42" s="110"/>
      <c r="Y42" s="110"/>
    </row>
    <row r="43" spans="1:25">
      <c r="A43" s="164" t="s">
        <v>41</v>
      </c>
      <c r="B43" s="178" t="s">
        <v>355</v>
      </c>
      <c r="C43" s="164">
        <v>5</v>
      </c>
      <c r="D43" s="178"/>
      <c r="L43" s="110"/>
      <c r="M43" s="110"/>
      <c r="N43" s="110"/>
      <c r="O43" s="110"/>
      <c r="P43" s="110"/>
      <c r="Q43" s="110"/>
      <c r="R43" s="110"/>
      <c r="S43" s="110"/>
      <c r="T43" s="110"/>
      <c r="U43" s="110"/>
      <c r="V43" s="110"/>
      <c r="W43" s="110"/>
      <c r="X43" s="110"/>
      <c r="Y43" s="110"/>
    </row>
    <row r="44" spans="1:25">
      <c r="A44" s="164" t="s">
        <v>41</v>
      </c>
      <c r="B44" s="178" t="s">
        <v>356</v>
      </c>
      <c r="C44" s="164">
        <v>8</v>
      </c>
      <c r="D44" s="178"/>
      <c r="L44" s="110"/>
      <c r="M44" s="110"/>
      <c r="N44" s="110"/>
      <c r="O44" s="110"/>
      <c r="P44" s="110"/>
      <c r="Q44" s="110"/>
      <c r="R44" s="110"/>
      <c r="S44" s="110"/>
      <c r="T44" s="110"/>
      <c r="U44" s="110"/>
      <c r="V44" s="110"/>
      <c r="W44" s="110"/>
      <c r="X44" s="110"/>
      <c r="Y44" s="110"/>
    </row>
    <row r="45" spans="1:25">
      <c r="A45" s="164" t="s">
        <v>41</v>
      </c>
      <c r="B45" s="178" t="s">
        <v>357</v>
      </c>
      <c r="C45" s="164">
        <v>7</v>
      </c>
      <c r="D45" s="178"/>
      <c r="L45" s="110"/>
      <c r="M45" s="110"/>
      <c r="N45" s="110"/>
      <c r="O45" s="110"/>
      <c r="P45" s="110"/>
      <c r="Q45" s="110"/>
      <c r="R45" s="110"/>
      <c r="S45" s="110"/>
      <c r="T45" s="110"/>
      <c r="U45" s="110"/>
      <c r="V45" s="110"/>
      <c r="W45" s="110"/>
      <c r="X45" s="110"/>
      <c r="Y45" s="110"/>
    </row>
    <row r="46" spans="1:25">
      <c r="A46" s="164" t="s">
        <v>41</v>
      </c>
      <c r="B46" s="178" t="s">
        <v>358</v>
      </c>
      <c r="C46" s="164">
        <v>7</v>
      </c>
      <c r="D46" s="178"/>
      <c r="L46" s="110"/>
      <c r="M46" s="110"/>
      <c r="N46" s="110"/>
      <c r="O46" s="110"/>
      <c r="P46" s="110"/>
      <c r="Q46" s="110"/>
      <c r="R46" s="110"/>
      <c r="S46" s="110"/>
      <c r="T46" s="110"/>
      <c r="U46" s="110"/>
      <c r="V46" s="110"/>
      <c r="W46" s="110"/>
      <c r="X46" s="110"/>
      <c r="Y46" s="110"/>
    </row>
    <row r="47" spans="1:25">
      <c r="A47" s="164" t="s">
        <v>41</v>
      </c>
      <c r="B47" s="178" t="s">
        <v>359</v>
      </c>
      <c r="C47" s="164">
        <v>5</v>
      </c>
      <c r="D47" s="178"/>
      <c r="L47" s="110"/>
      <c r="M47" s="110"/>
      <c r="N47" s="110"/>
      <c r="O47" s="110"/>
      <c r="P47" s="110"/>
      <c r="Q47" s="110"/>
      <c r="R47" s="110"/>
      <c r="S47" s="110"/>
      <c r="T47" s="110"/>
      <c r="U47" s="110"/>
      <c r="V47" s="110"/>
      <c r="W47" s="110"/>
      <c r="X47" s="110"/>
      <c r="Y47" s="110"/>
    </row>
    <row r="48" spans="1:25">
      <c r="A48" s="164" t="s">
        <v>41</v>
      </c>
      <c r="B48" s="178" t="s">
        <v>360</v>
      </c>
      <c r="C48" s="164">
        <v>4</v>
      </c>
      <c r="D48" s="178"/>
      <c r="L48" s="110"/>
      <c r="M48" s="110"/>
      <c r="N48" s="110"/>
      <c r="O48" s="110"/>
      <c r="P48" s="110"/>
      <c r="Q48" s="110"/>
      <c r="R48" s="110"/>
      <c r="S48" s="110"/>
      <c r="T48" s="110"/>
      <c r="U48" s="110"/>
      <c r="V48" s="110"/>
      <c r="W48" s="110"/>
      <c r="X48" s="110"/>
      <c r="Y48" s="110"/>
    </row>
    <row r="49" spans="1:25">
      <c r="A49" s="164" t="s">
        <v>41</v>
      </c>
      <c r="B49" s="178" t="s">
        <v>361</v>
      </c>
      <c r="C49" s="164">
        <v>5</v>
      </c>
      <c r="D49" s="178"/>
      <c r="L49" s="110"/>
      <c r="M49" s="110"/>
      <c r="N49" s="110"/>
      <c r="O49" s="110"/>
      <c r="P49" s="110"/>
      <c r="Q49" s="110"/>
      <c r="R49" s="110"/>
      <c r="S49" s="110"/>
      <c r="T49" s="110"/>
      <c r="U49" s="110"/>
      <c r="V49" s="110"/>
      <c r="W49" s="110"/>
      <c r="X49" s="110"/>
      <c r="Y49" s="110"/>
    </row>
    <row r="50" spans="1:25">
      <c r="A50" s="164" t="s">
        <v>41</v>
      </c>
      <c r="B50" s="178" t="s">
        <v>362</v>
      </c>
      <c r="C50" s="164">
        <v>4</v>
      </c>
      <c r="D50" s="178"/>
      <c r="L50" s="110"/>
      <c r="M50" s="110"/>
      <c r="N50" s="110"/>
      <c r="O50" s="110"/>
      <c r="P50" s="110"/>
      <c r="Q50" s="110"/>
      <c r="R50" s="110"/>
      <c r="S50" s="110"/>
      <c r="T50" s="110"/>
      <c r="U50" s="110"/>
      <c r="V50" s="110"/>
      <c r="W50" s="110"/>
      <c r="X50" s="110"/>
      <c r="Y50" s="110"/>
    </row>
    <row r="51" spans="1:25">
      <c r="A51" s="164" t="s">
        <v>41</v>
      </c>
      <c r="B51" s="178" t="s">
        <v>363</v>
      </c>
      <c r="C51" s="164">
        <v>3</v>
      </c>
      <c r="D51" s="178"/>
      <c r="L51" s="110"/>
      <c r="M51" s="110"/>
      <c r="N51" s="110"/>
      <c r="O51" s="110"/>
      <c r="P51" s="110"/>
      <c r="Q51" s="110"/>
      <c r="R51" s="110"/>
      <c r="S51" s="110"/>
      <c r="T51" s="110"/>
      <c r="U51" s="110"/>
      <c r="V51" s="110"/>
      <c r="W51" s="110"/>
      <c r="X51" s="110"/>
      <c r="Y51" s="110"/>
    </row>
    <row r="52" spans="1:25">
      <c r="A52" s="164" t="s">
        <v>41</v>
      </c>
      <c r="B52" s="178" t="s">
        <v>364</v>
      </c>
      <c r="C52" s="164">
        <v>7</v>
      </c>
      <c r="D52" s="178"/>
      <c r="L52" s="110"/>
      <c r="M52" s="110"/>
      <c r="N52" s="110"/>
      <c r="O52" s="110"/>
      <c r="P52" s="110"/>
      <c r="Q52" s="110"/>
      <c r="R52" s="110"/>
      <c r="S52" s="110"/>
      <c r="T52" s="110"/>
      <c r="U52" s="110"/>
      <c r="V52" s="110"/>
      <c r="W52" s="110"/>
      <c r="X52" s="110"/>
      <c r="Y52" s="110"/>
    </row>
    <row r="53" spans="1:25">
      <c r="A53" s="164" t="s">
        <v>41</v>
      </c>
      <c r="B53" s="178" t="s">
        <v>365</v>
      </c>
      <c r="C53" s="164">
        <v>3</v>
      </c>
      <c r="D53" s="178"/>
      <c r="L53" s="110"/>
      <c r="M53" s="110"/>
      <c r="N53" s="110"/>
      <c r="O53" s="110"/>
      <c r="P53" s="110"/>
      <c r="Q53" s="110"/>
      <c r="R53" s="110"/>
      <c r="S53" s="110"/>
      <c r="T53" s="110"/>
      <c r="U53" s="110"/>
      <c r="V53" s="110"/>
      <c r="W53" s="110"/>
      <c r="X53" s="110"/>
      <c r="Y53" s="110"/>
    </row>
    <row r="54" spans="1:25">
      <c r="A54" s="164" t="s">
        <v>41</v>
      </c>
      <c r="B54" s="178" t="s">
        <v>366</v>
      </c>
      <c r="C54" s="164">
        <v>5</v>
      </c>
      <c r="D54" s="178"/>
      <c r="L54" s="110"/>
      <c r="M54" s="110"/>
      <c r="N54" s="110"/>
      <c r="O54" s="110"/>
      <c r="P54" s="110"/>
      <c r="Q54" s="110"/>
      <c r="R54" s="110"/>
      <c r="S54" s="110"/>
      <c r="T54" s="110"/>
      <c r="U54" s="110"/>
      <c r="V54" s="110"/>
      <c r="W54" s="110"/>
      <c r="X54" s="110"/>
      <c r="Y54" s="110"/>
    </row>
    <row r="55" spans="1:25">
      <c r="A55" s="164" t="s">
        <v>41</v>
      </c>
      <c r="B55" s="178" t="s">
        <v>367</v>
      </c>
      <c r="C55" s="164">
        <v>5</v>
      </c>
      <c r="D55" s="178"/>
      <c r="L55" s="110"/>
      <c r="M55" s="110"/>
      <c r="N55" s="110"/>
      <c r="O55" s="110"/>
      <c r="P55" s="110"/>
      <c r="Q55" s="110"/>
      <c r="R55" s="110"/>
      <c r="S55" s="110"/>
      <c r="T55" s="110"/>
      <c r="U55" s="110"/>
      <c r="V55" s="110"/>
      <c r="W55" s="110"/>
      <c r="X55" s="110"/>
      <c r="Y55" s="110"/>
    </row>
    <row r="56" spans="1:25">
      <c r="A56" s="164" t="s">
        <v>41</v>
      </c>
      <c r="B56" s="178" t="s">
        <v>368</v>
      </c>
      <c r="C56" s="164">
        <v>5</v>
      </c>
      <c r="D56" s="178"/>
      <c r="L56" s="110"/>
      <c r="M56" s="110"/>
      <c r="N56" s="110"/>
      <c r="O56" s="110"/>
      <c r="P56" s="110"/>
      <c r="Q56" s="110"/>
      <c r="R56" s="110"/>
      <c r="S56" s="110"/>
      <c r="T56" s="110"/>
      <c r="U56" s="110"/>
      <c r="V56" s="110"/>
      <c r="W56" s="110"/>
      <c r="X56" s="110"/>
      <c r="Y56" s="110"/>
    </row>
    <row r="57" spans="1:25">
      <c r="A57" s="164" t="s">
        <v>41</v>
      </c>
      <c r="B57" s="178" t="s">
        <v>369</v>
      </c>
      <c r="C57" s="164">
        <v>4</v>
      </c>
      <c r="D57" s="178"/>
      <c r="L57" s="110"/>
      <c r="M57" s="110"/>
      <c r="N57" s="110"/>
      <c r="O57" s="110"/>
      <c r="P57" s="110"/>
      <c r="Q57" s="110"/>
      <c r="R57" s="110"/>
      <c r="S57" s="110"/>
      <c r="T57" s="110"/>
      <c r="U57" s="110"/>
      <c r="V57" s="110"/>
      <c r="W57" s="110"/>
      <c r="X57" s="110"/>
      <c r="Y57" s="110"/>
    </row>
    <row r="58" spans="1:25">
      <c r="A58" s="164" t="s">
        <v>41</v>
      </c>
      <c r="B58" s="178" t="s">
        <v>370</v>
      </c>
      <c r="C58" s="164">
        <v>8</v>
      </c>
      <c r="D58" s="178"/>
      <c r="L58" s="110"/>
      <c r="M58" s="110"/>
      <c r="N58" s="110"/>
      <c r="O58" s="110"/>
      <c r="P58" s="110"/>
      <c r="Q58" s="110"/>
      <c r="R58" s="110"/>
      <c r="S58" s="110"/>
      <c r="T58" s="110"/>
      <c r="U58" s="110"/>
      <c r="V58" s="110"/>
      <c r="W58" s="110"/>
      <c r="X58" s="110"/>
      <c r="Y58" s="110"/>
    </row>
    <row r="59" spans="1:25">
      <c r="A59" s="164" t="s">
        <v>41</v>
      </c>
      <c r="B59" s="178" t="s">
        <v>371</v>
      </c>
      <c r="C59" s="164">
        <v>5</v>
      </c>
      <c r="D59" s="178"/>
      <c r="L59" s="110"/>
      <c r="M59" s="110"/>
      <c r="N59" s="110"/>
      <c r="O59" s="110"/>
      <c r="P59" s="110"/>
      <c r="Q59" s="110"/>
      <c r="R59" s="110"/>
      <c r="S59" s="110"/>
      <c r="T59" s="110"/>
      <c r="U59" s="110"/>
      <c r="V59" s="110"/>
      <c r="W59" s="110"/>
      <c r="X59" s="110"/>
      <c r="Y59" s="110"/>
    </row>
    <row r="60" spans="1:25">
      <c r="A60" s="164" t="s">
        <v>41</v>
      </c>
      <c r="B60" s="178" t="s">
        <v>372</v>
      </c>
      <c r="C60" s="164">
        <v>5</v>
      </c>
      <c r="D60" s="178"/>
      <c r="L60" s="110"/>
      <c r="M60" s="110"/>
      <c r="N60" s="110"/>
      <c r="O60" s="110"/>
      <c r="P60" s="110"/>
      <c r="Q60" s="110"/>
      <c r="R60" s="110"/>
      <c r="S60" s="110"/>
      <c r="T60" s="110"/>
      <c r="U60" s="110"/>
      <c r="V60" s="110"/>
      <c r="W60" s="110"/>
      <c r="X60" s="110"/>
      <c r="Y60" s="110"/>
    </row>
    <row r="61" spans="1:25">
      <c r="A61" s="164" t="s">
        <v>41</v>
      </c>
      <c r="B61" s="178" t="s">
        <v>373</v>
      </c>
      <c r="C61" s="164">
        <v>4</v>
      </c>
      <c r="D61" s="178"/>
      <c r="L61" s="110"/>
      <c r="M61" s="110"/>
      <c r="N61" s="110"/>
      <c r="O61" s="110"/>
      <c r="P61" s="110"/>
      <c r="Q61" s="110"/>
      <c r="R61" s="110"/>
      <c r="S61" s="110"/>
      <c r="T61" s="110"/>
      <c r="U61" s="110"/>
      <c r="V61" s="110"/>
      <c r="W61" s="110"/>
      <c r="X61" s="110"/>
      <c r="Y61" s="110"/>
    </row>
    <row r="62" spans="1:25">
      <c r="A62" s="164" t="s">
        <v>41</v>
      </c>
      <c r="B62" s="178" t="s">
        <v>374</v>
      </c>
      <c r="C62" s="164">
        <v>5</v>
      </c>
      <c r="D62" s="178"/>
      <c r="L62" s="110"/>
      <c r="M62" s="110"/>
      <c r="N62" s="110"/>
      <c r="O62" s="110"/>
      <c r="P62" s="110"/>
      <c r="Q62" s="110"/>
      <c r="R62" s="110"/>
      <c r="S62" s="110"/>
      <c r="T62" s="110"/>
      <c r="U62" s="110"/>
      <c r="V62" s="110"/>
      <c r="W62" s="110"/>
      <c r="X62" s="110"/>
      <c r="Y62" s="110"/>
    </row>
    <row r="63" spans="1:25">
      <c r="A63" s="164" t="s">
        <v>41</v>
      </c>
      <c r="B63" s="178" t="s">
        <v>375</v>
      </c>
      <c r="C63" s="164">
        <v>4</v>
      </c>
      <c r="D63" s="178"/>
      <c r="L63" s="110"/>
      <c r="M63" s="110"/>
      <c r="N63" s="110"/>
      <c r="O63" s="110"/>
      <c r="P63" s="110"/>
      <c r="Q63" s="110"/>
      <c r="R63" s="110"/>
      <c r="S63" s="110"/>
      <c r="T63" s="110"/>
      <c r="U63" s="110"/>
      <c r="V63" s="110"/>
      <c r="W63" s="110"/>
      <c r="X63" s="110"/>
      <c r="Y63" s="110"/>
    </row>
    <row r="64" spans="1:25">
      <c r="A64" s="164" t="s">
        <v>41</v>
      </c>
      <c r="B64" s="178" t="s">
        <v>376</v>
      </c>
      <c r="C64" s="164">
        <v>5</v>
      </c>
      <c r="D64" s="178"/>
      <c r="L64" s="110"/>
      <c r="M64" s="110"/>
      <c r="N64" s="110"/>
      <c r="O64" s="110"/>
      <c r="P64" s="110"/>
      <c r="Q64" s="110"/>
      <c r="R64" s="110"/>
      <c r="S64" s="110"/>
      <c r="T64" s="110"/>
      <c r="U64" s="110"/>
      <c r="V64" s="110"/>
      <c r="W64" s="110"/>
      <c r="X64" s="110"/>
      <c r="Y64" s="110"/>
    </row>
    <row r="65" spans="1:25">
      <c r="A65" s="164" t="s">
        <v>41</v>
      </c>
      <c r="B65" s="178" t="s">
        <v>377</v>
      </c>
      <c r="C65" s="164">
        <v>5</v>
      </c>
      <c r="D65" s="178"/>
      <c r="L65" s="110"/>
      <c r="M65" s="110"/>
      <c r="N65" s="110"/>
      <c r="O65" s="110"/>
      <c r="P65" s="110"/>
      <c r="Q65" s="110"/>
      <c r="R65" s="110"/>
      <c r="S65" s="110"/>
      <c r="T65" s="110"/>
      <c r="U65" s="110"/>
      <c r="V65" s="110"/>
      <c r="W65" s="110"/>
      <c r="X65" s="110"/>
      <c r="Y65" s="110"/>
    </row>
    <row r="66" spans="1:25">
      <c r="A66" s="164" t="s">
        <v>41</v>
      </c>
      <c r="B66" s="178" t="s">
        <v>378</v>
      </c>
      <c r="C66" s="164">
        <v>3</v>
      </c>
      <c r="D66" s="178"/>
      <c r="L66" s="110"/>
      <c r="M66" s="110"/>
      <c r="N66" s="110"/>
      <c r="O66" s="110"/>
      <c r="P66" s="110"/>
      <c r="Q66" s="110"/>
      <c r="R66" s="110"/>
      <c r="S66" s="110"/>
      <c r="T66" s="110"/>
      <c r="U66" s="110"/>
      <c r="V66" s="110"/>
      <c r="W66" s="110"/>
      <c r="X66" s="110"/>
      <c r="Y66" s="110"/>
    </row>
    <row r="67" spans="1:25">
      <c r="A67" s="164" t="s">
        <v>41</v>
      </c>
      <c r="B67" s="178" t="s">
        <v>379</v>
      </c>
      <c r="C67" s="164">
        <v>5</v>
      </c>
      <c r="D67" s="178"/>
      <c r="L67" s="110"/>
      <c r="M67" s="110"/>
      <c r="N67" s="110"/>
      <c r="O67" s="110"/>
      <c r="P67" s="110"/>
      <c r="Q67" s="110"/>
      <c r="R67" s="110"/>
      <c r="S67" s="110"/>
      <c r="T67" s="110"/>
      <c r="U67" s="110"/>
      <c r="V67" s="110"/>
      <c r="W67" s="110"/>
      <c r="X67" s="110"/>
      <c r="Y67" s="110"/>
    </row>
    <row r="68" spans="1:25">
      <c r="A68" s="164" t="s">
        <v>41</v>
      </c>
      <c r="B68" s="178" t="s">
        <v>380</v>
      </c>
      <c r="C68" s="164">
        <v>5</v>
      </c>
      <c r="D68" s="178"/>
      <c r="L68" s="110"/>
      <c r="M68" s="110"/>
      <c r="N68" s="110"/>
      <c r="O68" s="110"/>
      <c r="P68" s="110"/>
      <c r="Q68" s="110"/>
      <c r="R68" s="110"/>
      <c r="S68" s="110"/>
      <c r="T68" s="110"/>
      <c r="U68" s="110"/>
      <c r="V68" s="110"/>
      <c r="W68" s="110"/>
      <c r="X68" s="110"/>
      <c r="Y68" s="110"/>
    </row>
    <row r="69" spans="1:25">
      <c r="A69" s="164" t="s">
        <v>41</v>
      </c>
      <c r="B69" s="178" t="s">
        <v>381</v>
      </c>
      <c r="C69" s="164">
        <v>5</v>
      </c>
      <c r="D69" s="178"/>
      <c r="L69" s="110"/>
      <c r="M69" s="110"/>
      <c r="N69" s="110"/>
      <c r="O69" s="110"/>
      <c r="P69" s="110"/>
      <c r="Q69" s="110"/>
      <c r="R69" s="110"/>
      <c r="S69" s="110"/>
      <c r="T69" s="110"/>
      <c r="U69" s="110"/>
      <c r="V69" s="110"/>
      <c r="W69" s="110"/>
      <c r="X69" s="110"/>
      <c r="Y69" s="110"/>
    </row>
    <row r="70" spans="1:25">
      <c r="A70" s="164" t="s">
        <v>41</v>
      </c>
      <c r="B70" s="178" t="s">
        <v>382</v>
      </c>
      <c r="C70" s="164">
        <v>10</v>
      </c>
      <c r="D70" s="178"/>
      <c r="L70" s="110"/>
      <c r="M70" s="110"/>
      <c r="N70" s="110"/>
      <c r="O70" s="110"/>
      <c r="P70" s="110"/>
      <c r="Q70" s="110"/>
      <c r="R70" s="110"/>
      <c r="S70" s="110"/>
      <c r="T70" s="110"/>
      <c r="U70" s="110"/>
      <c r="V70" s="110"/>
      <c r="W70" s="110"/>
      <c r="X70" s="110"/>
      <c r="Y70" s="110"/>
    </row>
    <row r="71" spans="1:25">
      <c r="A71" s="164" t="s">
        <v>41</v>
      </c>
      <c r="B71" s="178" t="s">
        <v>383</v>
      </c>
      <c r="C71" s="164">
        <v>7</v>
      </c>
      <c r="D71" s="178"/>
      <c r="L71" s="110"/>
      <c r="M71" s="110"/>
      <c r="N71" s="110"/>
      <c r="O71" s="110"/>
      <c r="P71" s="110"/>
      <c r="Q71" s="110"/>
      <c r="R71" s="110"/>
      <c r="S71" s="110"/>
      <c r="T71" s="110"/>
      <c r="U71" s="110"/>
      <c r="V71" s="110"/>
      <c r="W71" s="110"/>
      <c r="X71" s="110"/>
      <c r="Y71" s="110"/>
    </row>
    <row r="72" spans="1:25">
      <c r="A72" s="164" t="s">
        <v>41</v>
      </c>
      <c r="B72" s="178" t="s">
        <v>384</v>
      </c>
      <c r="C72" s="164">
        <v>4</v>
      </c>
      <c r="D72" s="178"/>
      <c r="L72" s="110"/>
      <c r="M72" s="110"/>
      <c r="N72" s="110"/>
      <c r="O72" s="110"/>
      <c r="P72" s="110"/>
      <c r="Q72" s="110"/>
      <c r="R72" s="110"/>
      <c r="S72" s="110"/>
      <c r="T72" s="110"/>
      <c r="U72" s="110"/>
      <c r="V72" s="110"/>
      <c r="W72" s="110"/>
      <c r="X72" s="110"/>
      <c r="Y72" s="110"/>
    </row>
    <row r="73" spans="1:25">
      <c r="A73" s="164" t="s">
        <v>41</v>
      </c>
      <c r="B73" s="178" t="s">
        <v>385</v>
      </c>
      <c r="C73" s="164">
        <v>7</v>
      </c>
      <c r="D73" s="178"/>
      <c r="L73" s="110"/>
      <c r="M73" s="110"/>
      <c r="N73" s="110"/>
      <c r="O73" s="110"/>
      <c r="P73" s="110"/>
      <c r="Q73" s="110"/>
      <c r="R73" s="110"/>
      <c r="S73" s="110"/>
      <c r="T73" s="110"/>
      <c r="U73" s="110"/>
      <c r="V73" s="110"/>
      <c r="W73" s="110"/>
      <c r="X73" s="110"/>
      <c r="Y73" s="110"/>
    </row>
    <row r="74" spans="1:25">
      <c r="A74" s="164" t="s">
        <v>41</v>
      </c>
      <c r="B74" s="178" t="s">
        <v>386</v>
      </c>
      <c r="C74" s="164">
        <v>5</v>
      </c>
      <c r="D74" s="178"/>
      <c r="L74" s="110"/>
      <c r="M74" s="110"/>
      <c r="N74" s="110"/>
      <c r="O74" s="110"/>
      <c r="P74" s="110"/>
      <c r="Q74" s="110"/>
      <c r="R74" s="110"/>
      <c r="S74" s="110"/>
      <c r="T74" s="110"/>
      <c r="U74" s="110"/>
      <c r="V74" s="110"/>
      <c r="W74" s="110"/>
      <c r="X74" s="110"/>
      <c r="Y74" s="110"/>
    </row>
    <row r="75" spans="1:25">
      <c r="A75" s="164" t="s">
        <v>41</v>
      </c>
      <c r="B75" s="178" t="s">
        <v>387</v>
      </c>
      <c r="C75" s="164">
        <v>8</v>
      </c>
      <c r="D75" s="178"/>
      <c r="L75" s="110"/>
      <c r="M75" s="110"/>
      <c r="N75" s="110"/>
      <c r="O75" s="110"/>
      <c r="P75" s="110"/>
      <c r="Q75" s="110"/>
      <c r="R75" s="110"/>
      <c r="S75" s="110"/>
      <c r="T75" s="110"/>
      <c r="U75" s="110"/>
      <c r="V75" s="110"/>
      <c r="W75" s="110"/>
      <c r="X75" s="110"/>
      <c r="Y75" s="110"/>
    </row>
    <row r="76" spans="1:25">
      <c r="A76" s="164" t="s">
        <v>41</v>
      </c>
      <c r="B76" s="178" t="s">
        <v>388</v>
      </c>
      <c r="C76" s="164">
        <v>4</v>
      </c>
      <c r="D76" s="178"/>
      <c r="L76" s="110"/>
      <c r="M76" s="110"/>
      <c r="N76" s="110"/>
      <c r="O76" s="110"/>
      <c r="P76" s="110"/>
      <c r="Q76" s="110"/>
      <c r="R76" s="110"/>
      <c r="S76" s="110"/>
      <c r="T76" s="110"/>
      <c r="U76" s="110"/>
      <c r="V76" s="110"/>
      <c r="W76" s="110"/>
      <c r="X76" s="110"/>
      <c r="Y76" s="110"/>
    </row>
    <row r="77" spans="1:25">
      <c r="A77" s="164" t="s">
        <v>41</v>
      </c>
      <c r="B77" s="178" t="s">
        <v>389</v>
      </c>
      <c r="C77" s="164">
        <v>4</v>
      </c>
      <c r="D77" s="178"/>
      <c r="L77" s="110"/>
      <c r="M77" s="110"/>
      <c r="N77" s="110"/>
      <c r="O77" s="110"/>
      <c r="P77" s="110"/>
      <c r="Q77" s="110"/>
      <c r="R77" s="110"/>
      <c r="S77" s="110"/>
      <c r="T77" s="110"/>
      <c r="U77" s="110"/>
      <c r="V77" s="110"/>
      <c r="W77" s="110"/>
      <c r="X77" s="110"/>
      <c r="Y77" s="110"/>
    </row>
    <row r="78" spans="1:25">
      <c r="A78" s="164" t="s">
        <v>41</v>
      </c>
      <c r="B78" s="178" t="s">
        <v>390</v>
      </c>
      <c r="C78" s="164">
        <v>5</v>
      </c>
      <c r="D78" s="178"/>
      <c r="L78" s="110"/>
      <c r="M78" s="110"/>
      <c r="N78" s="110"/>
      <c r="O78" s="110"/>
      <c r="P78" s="110"/>
      <c r="Q78" s="110"/>
      <c r="R78" s="110"/>
      <c r="S78" s="110"/>
      <c r="T78" s="110"/>
      <c r="U78" s="110"/>
      <c r="V78" s="110"/>
      <c r="W78" s="110"/>
      <c r="X78" s="110"/>
      <c r="Y78" s="110"/>
    </row>
    <row r="79" spans="1:25">
      <c r="A79" s="164" t="s">
        <v>41</v>
      </c>
      <c r="B79" s="178" t="s">
        <v>391</v>
      </c>
      <c r="C79" s="164">
        <v>4</v>
      </c>
      <c r="D79" s="178"/>
      <c r="L79" s="110"/>
      <c r="M79" s="110"/>
      <c r="N79" s="110"/>
      <c r="O79" s="110"/>
      <c r="P79" s="110"/>
      <c r="Q79" s="110"/>
      <c r="R79" s="110"/>
      <c r="S79" s="110"/>
      <c r="T79" s="110"/>
      <c r="U79" s="110"/>
      <c r="V79" s="110"/>
      <c r="W79" s="110"/>
      <c r="X79" s="110"/>
      <c r="Y79" s="110"/>
    </row>
    <row r="80" spans="1:25">
      <c r="A80" s="164" t="s">
        <v>41</v>
      </c>
      <c r="B80" s="178" t="s">
        <v>392</v>
      </c>
      <c r="C80" s="164">
        <v>5</v>
      </c>
      <c r="D80" s="178"/>
      <c r="L80" s="110"/>
      <c r="M80" s="110"/>
      <c r="N80" s="110"/>
      <c r="O80" s="110"/>
      <c r="P80" s="110"/>
      <c r="Q80" s="110"/>
      <c r="R80" s="110"/>
      <c r="S80" s="110"/>
      <c r="T80" s="110"/>
      <c r="U80" s="110"/>
      <c r="V80" s="110"/>
      <c r="W80" s="110"/>
      <c r="X80" s="110"/>
      <c r="Y80" s="110"/>
    </row>
    <row r="81" spans="1:25">
      <c r="A81" s="164" t="s">
        <v>41</v>
      </c>
      <c r="B81" s="178" t="s">
        <v>393</v>
      </c>
      <c r="C81" s="164">
        <v>5</v>
      </c>
      <c r="D81" s="178"/>
      <c r="L81" s="110"/>
      <c r="M81" s="110"/>
      <c r="N81" s="110"/>
      <c r="O81" s="110"/>
      <c r="P81" s="110"/>
      <c r="Q81" s="110"/>
      <c r="R81" s="110"/>
      <c r="S81" s="110"/>
      <c r="T81" s="110"/>
      <c r="U81" s="110"/>
      <c r="V81" s="110"/>
      <c r="W81" s="110"/>
      <c r="X81" s="110"/>
      <c r="Y81" s="110"/>
    </row>
    <row r="82" spans="1:25">
      <c r="A82" s="164" t="s">
        <v>41</v>
      </c>
      <c r="B82" s="178" t="s">
        <v>394</v>
      </c>
      <c r="C82" s="164">
        <v>3</v>
      </c>
      <c r="D82" s="178"/>
      <c r="L82" s="110"/>
      <c r="M82" s="110"/>
      <c r="N82" s="110"/>
      <c r="O82" s="110"/>
      <c r="P82" s="110"/>
      <c r="Q82" s="110"/>
      <c r="R82" s="110"/>
      <c r="S82" s="110"/>
      <c r="T82" s="110"/>
      <c r="U82" s="110"/>
      <c r="V82" s="110"/>
      <c r="W82" s="110"/>
      <c r="X82" s="110"/>
      <c r="Y82" s="110"/>
    </row>
    <row r="83" spans="1:25">
      <c r="A83" s="164" t="s">
        <v>41</v>
      </c>
      <c r="B83" s="178" t="s">
        <v>395</v>
      </c>
      <c r="C83" s="164">
        <v>5</v>
      </c>
      <c r="D83" s="178"/>
      <c r="L83" s="110"/>
      <c r="M83" s="110"/>
      <c r="N83" s="110"/>
      <c r="O83" s="110"/>
      <c r="P83" s="110"/>
      <c r="Q83" s="110"/>
      <c r="R83" s="110"/>
      <c r="S83" s="110"/>
      <c r="T83" s="110"/>
      <c r="U83" s="110"/>
      <c r="V83" s="110"/>
      <c r="W83" s="110"/>
      <c r="X83" s="110"/>
      <c r="Y83" s="110"/>
    </row>
    <row r="84" spans="1:25">
      <c r="A84" s="164" t="s">
        <v>41</v>
      </c>
      <c r="B84" s="178" t="s">
        <v>396</v>
      </c>
      <c r="C84" s="164">
        <v>3</v>
      </c>
      <c r="D84" s="178"/>
      <c r="L84" s="110"/>
      <c r="M84" s="110"/>
      <c r="N84" s="110"/>
      <c r="O84" s="110"/>
      <c r="P84" s="110"/>
      <c r="Q84" s="110"/>
      <c r="R84" s="110"/>
      <c r="S84" s="110"/>
      <c r="T84" s="110"/>
      <c r="U84" s="110"/>
      <c r="V84" s="110"/>
      <c r="W84" s="110"/>
      <c r="X84" s="110"/>
      <c r="Y84" s="110"/>
    </row>
    <row r="85" spans="1:25">
      <c r="A85" s="164" t="s">
        <v>41</v>
      </c>
      <c r="B85" s="178" t="s">
        <v>397</v>
      </c>
      <c r="C85" s="164">
        <v>4</v>
      </c>
      <c r="D85" s="178"/>
      <c r="L85" s="110"/>
      <c r="M85" s="110"/>
      <c r="N85" s="110"/>
      <c r="O85" s="110"/>
      <c r="P85" s="110"/>
      <c r="Q85" s="110"/>
      <c r="R85" s="110"/>
      <c r="S85" s="110"/>
      <c r="T85" s="110"/>
      <c r="U85" s="110"/>
      <c r="V85" s="110"/>
      <c r="W85" s="110"/>
      <c r="X85" s="110"/>
      <c r="Y85" s="110"/>
    </row>
    <row r="86" spans="1:25">
      <c r="A86" s="164" t="s">
        <v>41</v>
      </c>
      <c r="B86" s="178" t="s">
        <v>398</v>
      </c>
      <c r="C86" s="164">
        <v>5</v>
      </c>
      <c r="D86" s="178"/>
      <c r="L86" s="110"/>
      <c r="M86" s="110"/>
      <c r="N86" s="110"/>
      <c r="O86" s="110"/>
      <c r="P86" s="110"/>
      <c r="Q86" s="110"/>
      <c r="R86" s="110"/>
      <c r="S86" s="110"/>
      <c r="T86" s="110"/>
      <c r="U86" s="110"/>
      <c r="V86" s="110"/>
      <c r="W86" s="110"/>
      <c r="X86" s="110"/>
      <c r="Y86" s="110"/>
    </row>
    <row r="87" spans="1:25">
      <c r="A87" s="164" t="s">
        <v>41</v>
      </c>
      <c r="B87" s="178" t="s">
        <v>399</v>
      </c>
      <c r="C87" s="164">
        <v>3</v>
      </c>
      <c r="D87" s="178"/>
      <c r="L87" s="110"/>
      <c r="M87" s="110"/>
      <c r="N87" s="110"/>
      <c r="O87" s="110"/>
      <c r="P87" s="110"/>
      <c r="Q87" s="110"/>
      <c r="R87" s="110"/>
      <c r="S87" s="110"/>
      <c r="T87" s="110"/>
      <c r="U87" s="110"/>
      <c r="V87" s="110"/>
      <c r="W87" s="110"/>
      <c r="X87" s="110"/>
      <c r="Y87" s="110"/>
    </row>
    <row r="88" spans="1:25">
      <c r="A88" s="164" t="s">
        <v>41</v>
      </c>
      <c r="B88" s="178" t="s">
        <v>400</v>
      </c>
      <c r="C88" s="164">
        <v>5</v>
      </c>
      <c r="D88" s="178"/>
      <c r="L88" s="110"/>
      <c r="M88" s="110"/>
      <c r="N88" s="110"/>
      <c r="O88" s="110"/>
      <c r="P88" s="110"/>
      <c r="Q88" s="110"/>
      <c r="R88" s="110"/>
      <c r="S88" s="110"/>
      <c r="T88" s="110"/>
      <c r="U88" s="110"/>
      <c r="V88" s="110"/>
      <c r="W88" s="110"/>
      <c r="X88" s="110"/>
      <c r="Y88" s="110"/>
    </row>
    <row r="89" spans="1:25">
      <c r="A89" s="164" t="s">
        <v>41</v>
      </c>
      <c r="B89" s="178" t="s">
        <v>401</v>
      </c>
      <c r="C89" s="164">
        <v>3</v>
      </c>
      <c r="D89" s="178"/>
      <c r="L89" s="110"/>
      <c r="M89" s="110"/>
      <c r="N89" s="110"/>
      <c r="O89" s="110"/>
      <c r="P89" s="110"/>
      <c r="Q89" s="110"/>
      <c r="R89" s="110"/>
      <c r="S89" s="110"/>
      <c r="T89" s="110"/>
      <c r="U89" s="110"/>
      <c r="V89" s="110"/>
      <c r="W89" s="110"/>
      <c r="X89" s="110"/>
      <c r="Y89" s="110"/>
    </row>
    <row r="90" spans="1:25">
      <c r="A90" s="164" t="s">
        <v>41</v>
      </c>
      <c r="B90" s="178" t="s">
        <v>402</v>
      </c>
      <c r="C90" s="164">
        <v>7</v>
      </c>
      <c r="D90" s="178"/>
      <c r="L90" s="110"/>
      <c r="M90" s="110"/>
      <c r="N90" s="110"/>
      <c r="O90" s="110"/>
      <c r="P90" s="110"/>
      <c r="Q90" s="110"/>
      <c r="R90" s="110"/>
      <c r="S90" s="110"/>
      <c r="T90" s="110"/>
      <c r="U90" s="110"/>
      <c r="V90" s="110"/>
      <c r="W90" s="110"/>
      <c r="X90" s="110"/>
      <c r="Y90" s="110"/>
    </row>
    <row r="91" spans="1:25">
      <c r="A91" s="164" t="s">
        <v>41</v>
      </c>
      <c r="B91" s="178" t="s">
        <v>403</v>
      </c>
      <c r="C91" s="164">
        <v>4</v>
      </c>
      <c r="D91" s="178"/>
      <c r="L91" s="110"/>
      <c r="M91" s="110"/>
      <c r="N91" s="110"/>
      <c r="O91" s="110"/>
      <c r="P91" s="110"/>
      <c r="Q91" s="110"/>
      <c r="R91" s="110"/>
      <c r="S91" s="110"/>
      <c r="T91" s="110"/>
      <c r="U91" s="110"/>
      <c r="V91" s="110"/>
      <c r="W91" s="110"/>
      <c r="X91" s="110"/>
      <c r="Y91" s="110"/>
    </row>
    <row r="92" spans="1:25">
      <c r="A92" s="164" t="s">
        <v>41</v>
      </c>
      <c r="B92" s="178" t="s">
        <v>404</v>
      </c>
      <c r="C92" s="164">
        <v>4</v>
      </c>
      <c r="D92" s="178"/>
      <c r="L92" s="110"/>
      <c r="M92" s="110"/>
      <c r="N92" s="110"/>
      <c r="O92" s="110"/>
      <c r="P92" s="110"/>
      <c r="Q92" s="110"/>
      <c r="R92" s="110"/>
      <c r="S92" s="110"/>
      <c r="T92" s="110"/>
      <c r="U92" s="110"/>
      <c r="V92" s="110"/>
      <c r="W92" s="110"/>
      <c r="X92" s="110"/>
      <c r="Y92" s="110"/>
    </row>
    <row r="93" spans="1:25">
      <c r="A93" s="164" t="s">
        <v>41</v>
      </c>
      <c r="B93" s="178" t="s">
        <v>405</v>
      </c>
      <c r="C93" s="164">
        <v>4</v>
      </c>
      <c r="D93" s="178"/>
      <c r="L93" s="110"/>
      <c r="M93" s="110"/>
      <c r="N93" s="110"/>
      <c r="O93" s="110"/>
      <c r="P93" s="110"/>
      <c r="Q93" s="110"/>
      <c r="R93" s="110"/>
      <c r="S93" s="110"/>
      <c r="T93" s="110"/>
      <c r="U93" s="110"/>
      <c r="V93" s="110"/>
      <c r="W93" s="110"/>
      <c r="X93" s="110"/>
      <c r="Y93" s="110"/>
    </row>
    <row r="94" spans="1:25">
      <c r="A94" s="164" t="s">
        <v>41</v>
      </c>
      <c r="B94" s="178" t="s">
        <v>406</v>
      </c>
      <c r="C94" s="164">
        <v>4</v>
      </c>
      <c r="D94" s="178"/>
      <c r="L94" s="110"/>
      <c r="M94" s="110"/>
      <c r="N94" s="110"/>
      <c r="O94" s="110"/>
      <c r="P94" s="110"/>
      <c r="Q94" s="110"/>
      <c r="R94" s="110"/>
      <c r="S94" s="110"/>
      <c r="T94" s="110"/>
      <c r="U94" s="110"/>
      <c r="V94" s="110"/>
      <c r="W94" s="110"/>
      <c r="X94" s="110"/>
      <c r="Y94" s="110"/>
    </row>
    <row r="95" spans="1:25">
      <c r="A95" s="164" t="s">
        <v>41</v>
      </c>
      <c r="B95" s="178" t="s">
        <v>407</v>
      </c>
      <c r="C95" s="164">
        <v>5</v>
      </c>
      <c r="D95" s="178"/>
      <c r="L95" s="110"/>
      <c r="M95" s="110"/>
      <c r="N95" s="110"/>
      <c r="O95" s="110"/>
      <c r="P95" s="110"/>
      <c r="Q95" s="110"/>
      <c r="R95" s="110"/>
      <c r="S95" s="110"/>
      <c r="T95" s="110"/>
      <c r="U95" s="110"/>
      <c r="V95" s="110"/>
      <c r="W95" s="110"/>
      <c r="X95" s="110"/>
      <c r="Y95" s="110"/>
    </row>
    <row r="96" spans="1:25">
      <c r="A96" s="164" t="s">
        <v>41</v>
      </c>
      <c r="B96" s="178" t="s">
        <v>408</v>
      </c>
      <c r="C96" s="164">
        <v>8</v>
      </c>
      <c r="D96" s="178"/>
      <c r="L96" s="110"/>
      <c r="M96" s="110"/>
      <c r="N96" s="110"/>
      <c r="O96" s="110"/>
      <c r="P96" s="110"/>
      <c r="Q96" s="110"/>
      <c r="R96" s="110"/>
      <c r="S96" s="110"/>
      <c r="T96" s="110"/>
      <c r="U96" s="110"/>
      <c r="V96" s="110"/>
      <c r="W96" s="110"/>
      <c r="X96" s="110"/>
      <c r="Y96" s="110"/>
    </row>
    <row r="97" spans="1:25">
      <c r="A97" s="164" t="s">
        <v>41</v>
      </c>
      <c r="B97" s="178" t="s">
        <v>409</v>
      </c>
      <c r="C97" s="164">
        <v>4</v>
      </c>
      <c r="D97" s="178"/>
      <c r="L97" s="110"/>
      <c r="M97" s="110"/>
      <c r="N97" s="110"/>
      <c r="O97" s="110"/>
      <c r="P97" s="110"/>
      <c r="Q97" s="110"/>
      <c r="R97" s="110"/>
      <c r="S97" s="110"/>
      <c r="T97" s="110"/>
      <c r="U97" s="110"/>
      <c r="V97" s="110"/>
      <c r="W97" s="110"/>
      <c r="X97" s="110"/>
      <c r="Y97" s="110"/>
    </row>
    <row r="98" spans="1:25">
      <c r="A98" s="164" t="s">
        <v>41</v>
      </c>
      <c r="B98" s="178" t="s">
        <v>410</v>
      </c>
      <c r="C98" s="164">
        <v>5</v>
      </c>
      <c r="D98" s="178"/>
      <c r="L98" s="110"/>
      <c r="M98" s="110"/>
      <c r="N98" s="110"/>
      <c r="O98" s="110"/>
      <c r="P98" s="110"/>
      <c r="Q98" s="110"/>
      <c r="R98" s="110"/>
      <c r="S98" s="110"/>
      <c r="T98" s="110"/>
      <c r="U98" s="110"/>
      <c r="V98" s="110"/>
      <c r="W98" s="110"/>
      <c r="X98" s="110"/>
      <c r="Y98" s="110"/>
    </row>
    <row r="99" spans="1:25">
      <c r="A99" s="164" t="s">
        <v>41</v>
      </c>
      <c r="B99" s="178" t="s">
        <v>411</v>
      </c>
      <c r="C99" s="164">
        <v>3</v>
      </c>
      <c r="D99" s="178"/>
      <c r="L99" s="110"/>
      <c r="M99" s="110"/>
      <c r="N99" s="110"/>
      <c r="O99" s="110"/>
      <c r="P99" s="110"/>
      <c r="Q99" s="110"/>
      <c r="R99" s="110"/>
      <c r="S99" s="110"/>
      <c r="T99" s="110"/>
      <c r="U99" s="110"/>
      <c r="V99" s="110"/>
      <c r="W99" s="110"/>
      <c r="X99" s="110"/>
      <c r="Y99" s="110"/>
    </row>
    <row r="100" spans="1:25">
      <c r="A100" s="164" t="s">
        <v>41</v>
      </c>
      <c r="B100" s="178" t="s">
        <v>412</v>
      </c>
      <c r="C100" s="164">
        <v>8</v>
      </c>
      <c r="D100" s="178"/>
      <c r="L100" s="110"/>
      <c r="M100" s="110"/>
      <c r="N100" s="110"/>
      <c r="O100" s="110"/>
      <c r="P100" s="110"/>
      <c r="Q100" s="110"/>
      <c r="R100" s="110"/>
      <c r="S100" s="110"/>
      <c r="T100" s="110"/>
      <c r="U100" s="110"/>
      <c r="V100" s="110"/>
      <c r="W100" s="110"/>
      <c r="X100" s="110"/>
      <c r="Y100" s="110"/>
    </row>
    <row r="101" spans="1:25">
      <c r="A101" s="164" t="s">
        <v>41</v>
      </c>
      <c r="B101" s="178" t="s">
        <v>413</v>
      </c>
      <c r="C101" s="164">
        <v>7</v>
      </c>
      <c r="D101" s="178"/>
      <c r="L101" s="110"/>
      <c r="M101" s="110"/>
      <c r="N101" s="110"/>
      <c r="O101" s="110"/>
      <c r="P101" s="110"/>
      <c r="Q101" s="110"/>
      <c r="R101" s="110"/>
      <c r="S101" s="110"/>
      <c r="T101" s="110"/>
      <c r="U101" s="110"/>
      <c r="V101" s="110"/>
      <c r="W101" s="110"/>
      <c r="X101" s="110"/>
      <c r="Y101" s="110"/>
    </row>
    <row r="102" spans="1:25">
      <c r="A102" s="164" t="s">
        <v>41</v>
      </c>
      <c r="B102" s="178" t="s">
        <v>414</v>
      </c>
      <c r="C102" s="164">
        <v>4</v>
      </c>
      <c r="D102" s="178"/>
      <c r="L102" s="110"/>
      <c r="M102" s="110"/>
      <c r="N102" s="110"/>
      <c r="O102" s="110"/>
      <c r="P102" s="110"/>
      <c r="Q102" s="110"/>
      <c r="R102" s="110"/>
      <c r="S102" s="110"/>
      <c r="T102" s="110"/>
      <c r="U102" s="110"/>
      <c r="V102" s="110"/>
      <c r="W102" s="110"/>
      <c r="X102" s="110"/>
      <c r="Y102" s="110"/>
    </row>
    <row r="103" spans="1:25">
      <c r="A103" s="164" t="s">
        <v>41</v>
      </c>
      <c r="B103" s="178" t="s">
        <v>415</v>
      </c>
      <c r="C103" s="164">
        <v>8</v>
      </c>
      <c r="D103" s="178"/>
      <c r="L103" s="110"/>
      <c r="M103" s="110"/>
      <c r="N103" s="110"/>
      <c r="O103" s="110"/>
      <c r="P103" s="110"/>
      <c r="Q103" s="110"/>
      <c r="R103" s="110"/>
      <c r="S103" s="110"/>
      <c r="T103" s="110"/>
      <c r="U103" s="110"/>
      <c r="V103" s="110"/>
      <c r="W103" s="110"/>
      <c r="X103" s="110"/>
      <c r="Y103" s="110"/>
    </row>
    <row r="104" spans="1:25">
      <c r="A104" s="164" t="s">
        <v>41</v>
      </c>
      <c r="B104" s="178" t="s">
        <v>416</v>
      </c>
      <c r="C104" s="164">
        <v>5</v>
      </c>
      <c r="D104" s="178"/>
    </row>
    <row r="105" spans="1:25">
      <c r="A105" s="164" t="s">
        <v>41</v>
      </c>
      <c r="B105" s="178" t="s">
        <v>417</v>
      </c>
      <c r="C105" s="164">
        <v>3</v>
      </c>
      <c r="D105" s="178"/>
    </row>
    <row r="106" spans="1:25">
      <c r="A106" s="164" t="s">
        <v>41</v>
      </c>
      <c r="B106" s="178" t="s">
        <v>418</v>
      </c>
      <c r="C106" s="164">
        <v>5</v>
      </c>
      <c r="D106" s="178"/>
    </row>
    <row r="107" spans="1:25">
      <c r="A107" s="164" t="s">
        <v>41</v>
      </c>
      <c r="B107" s="178" t="s">
        <v>419</v>
      </c>
      <c r="C107" s="164">
        <v>5</v>
      </c>
      <c r="D107" s="178"/>
    </row>
    <row r="108" spans="1:25">
      <c r="A108" s="164" t="s">
        <v>41</v>
      </c>
      <c r="B108" s="178" t="s">
        <v>420</v>
      </c>
      <c r="C108" s="164">
        <v>5</v>
      </c>
      <c r="D108" s="178"/>
    </row>
    <row r="109" spans="1:25">
      <c r="A109" s="164" t="s">
        <v>41</v>
      </c>
      <c r="B109" s="178" t="s">
        <v>421</v>
      </c>
      <c r="C109" s="164">
        <v>8</v>
      </c>
      <c r="D109" s="178"/>
    </row>
    <row r="110" spans="1:25">
      <c r="A110" s="164" t="s">
        <v>41</v>
      </c>
      <c r="B110" s="178" t="s">
        <v>422</v>
      </c>
      <c r="C110" s="164">
        <v>4</v>
      </c>
      <c r="D110" s="178"/>
    </row>
    <row r="111" spans="1:25">
      <c r="A111" s="164" t="s">
        <v>41</v>
      </c>
      <c r="B111" s="178" t="s">
        <v>423</v>
      </c>
      <c r="C111" s="164">
        <v>4</v>
      </c>
      <c r="D111" s="178"/>
    </row>
    <row r="112" spans="1:25">
      <c r="A112" s="164" t="s">
        <v>41</v>
      </c>
      <c r="B112" s="178" t="s">
        <v>424</v>
      </c>
      <c r="C112" s="164">
        <v>7</v>
      </c>
      <c r="D112" s="178"/>
    </row>
    <row r="113" spans="1:4">
      <c r="A113" s="164" t="s">
        <v>41</v>
      </c>
      <c r="B113" s="178" t="s">
        <v>425</v>
      </c>
      <c r="C113" s="164">
        <v>4</v>
      </c>
      <c r="D113" s="178"/>
    </row>
    <row r="114" spans="1:4">
      <c r="A114" s="164" t="s">
        <v>41</v>
      </c>
      <c r="B114" s="178" t="s">
        <v>426</v>
      </c>
      <c r="C114" s="164">
        <v>5</v>
      </c>
      <c r="D114" s="178"/>
    </row>
    <row r="115" spans="1:4">
      <c r="A115" s="164" t="s">
        <v>41</v>
      </c>
      <c r="B115" s="178" t="s">
        <v>427</v>
      </c>
      <c r="C115" s="164">
        <v>3</v>
      </c>
      <c r="D115" s="178"/>
    </row>
    <row r="116" spans="1:4">
      <c r="A116" s="164" t="s">
        <v>41</v>
      </c>
      <c r="B116" s="178" t="s">
        <v>428</v>
      </c>
      <c r="C116" s="164">
        <v>5</v>
      </c>
      <c r="D116" s="178"/>
    </row>
    <row r="117" spans="1:4">
      <c r="A117" s="164" t="s">
        <v>41</v>
      </c>
      <c r="B117" s="178" t="s">
        <v>429</v>
      </c>
      <c r="C117" s="164">
        <v>3</v>
      </c>
      <c r="D117" s="178"/>
    </row>
    <row r="118" spans="1:4">
      <c r="A118" s="164" t="s">
        <v>41</v>
      </c>
      <c r="B118" s="178" t="s">
        <v>430</v>
      </c>
      <c r="C118" s="164">
        <v>7</v>
      </c>
      <c r="D118" s="178"/>
    </row>
    <row r="119" spans="1:4">
      <c r="A119" s="164" t="s">
        <v>41</v>
      </c>
      <c r="B119" s="178" t="s">
        <v>431</v>
      </c>
      <c r="C119" s="164">
        <v>5</v>
      </c>
      <c r="D119" s="178"/>
    </row>
    <row r="120" spans="1:4">
      <c r="A120" s="164" t="s">
        <v>41</v>
      </c>
      <c r="B120" s="178" t="s">
        <v>432</v>
      </c>
      <c r="C120" s="164">
        <v>5</v>
      </c>
      <c r="D120" s="178"/>
    </row>
    <row r="121" spans="1:4">
      <c r="A121" s="164" t="s">
        <v>41</v>
      </c>
      <c r="B121" s="178" t="s">
        <v>433</v>
      </c>
      <c r="C121" s="164">
        <v>5</v>
      </c>
      <c r="D121" s="178"/>
    </row>
    <row r="122" spans="1:4">
      <c r="A122" s="164" t="s">
        <v>41</v>
      </c>
      <c r="B122" s="178" t="s">
        <v>434</v>
      </c>
      <c r="C122" s="164">
        <v>5</v>
      </c>
      <c r="D122" s="178"/>
    </row>
    <row r="123" spans="1:4">
      <c r="A123" s="164" t="s">
        <v>41</v>
      </c>
      <c r="B123" s="178" t="s">
        <v>435</v>
      </c>
      <c r="C123" s="164">
        <v>5</v>
      </c>
      <c r="D123" s="178"/>
    </row>
    <row r="124" spans="1:4">
      <c r="A124" s="164" t="s">
        <v>41</v>
      </c>
      <c r="B124" s="178" t="s">
        <v>436</v>
      </c>
      <c r="C124" s="164">
        <v>5</v>
      </c>
      <c r="D124" s="178"/>
    </row>
    <row r="125" spans="1:4">
      <c r="A125" s="164" t="s">
        <v>41</v>
      </c>
      <c r="B125" s="178" t="s">
        <v>437</v>
      </c>
      <c r="C125" s="164">
        <v>5</v>
      </c>
      <c r="D125" s="178"/>
    </row>
    <row r="126" spans="1:4">
      <c r="A126" s="164" t="s">
        <v>41</v>
      </c>
      <c r="B126" s="178" t="s">
        <v>438</v>
      </c>
      <c r="C126" s="164">
        <v>5</v>
      </c>
      <c r="D126" s="178"/>
    </row>
    <row r="127" spans="1:4">
      <c r="A127" s="164" t="s">
        <v>41</v>
      </c>
      <c r="B127" s="178" t="s">
        <v>439</v>
      </c>
      <c r="C127" s="164">
        <v>5</v>
      </c>
      <c r="D127" s="178"/>
    </row>
    <row r="128" spans="1:4">
      <c r="A128" s="164" t="s">
        <v>41</v>
      </c>
      <c r="B128" s="178" t="s">
        <v>440</v>
      </c>
      <c r="C128" s="164">
        <v>7</v>
      </c>
      <c r="D128" s="178"/>
    </row>
    <row r="129" spans="1:4">
      <c r="A129" s="164" t="s">
        <v>41</v>
      </c>
      <c r="B129" s="178" t="s">
        <v>441</v>
      </c>
      <c r="C129" s="164">
        <v>3</v>
      </c>
      <c r="D129" s="178"/>
    </row>
    <row r="130" spans="1:4">
      <c r="A130" s="164" t="s">
        <v>41</v>
      </c>
      <c r="B130" s="178" t="s">
        <v>442</v>
      </c>
      <c r="C130" s="164">
        <v>8</v>
      </c>
      <c r="D130" s="178"/>
    </row>
    <row r="131" spans="1:4">
      <c r="A131" s="164" t="s">
        <v>41</v>
      </c>
      <c r="B131" s="178" t="s">
        <v>443</v>
      </c>
      <c r="C131" s="164">
        <v>5</v>
      </c>
      <c r="D131" s="178"/>
    </row>
    <row r="132" spans="1:4">
      <c r="A132" s="164" t="s">
        <v>41</v>
      </c>
      <c r="B132" s="178" t="s">
        <v>444</v>
      </c>
      <c r="C132" s="164">
        <v>5</v>
      </c>
      <c r="D132" s="178"/>
    </row>
    <row r="133" spans="1:4">
      <c r="A133" s="164" t="s">
        <v>41</v>
      </c>
      <c r="B133" s="178" t="s">
        <v>445</v>
      </c>
      <c r="C133" s="164">
        <v>3</v>
      </c>
      <c r="D133" s="178"/>
    </row>
    <row r="134" spans="1:4">
      <c r="A134" s="164" t="s">
        <v>41</v>
      </c>
      <c r="B134" s="178" t="s">
        <v>446</v>
      </c>
      <c r="C134" s="164">
        <v>5</v>
      </c>
      <c r="D134" s="178"/>
    </row>
    <row r="135" spans="1:4">
      <c r="A135" s="164" t="s">
        <v>41</v>
      </c>
      <c r="B135" s="178" t="s">
        <v>447</v>
      </c>
      <c r="C135" s="164">
        <v>7</v>
      </c>
      <c r="D135" s="178"/>
    </row>
    <row r="136" spans="1:4">
      <c r="A136" s="164" t="s">
        <v>41</v>
      </c>
      <c r="B136" s="178" t="s">
        <v>448</v>
      </c>
      <c r="C136" s="164">
        <v>7</v>
      </c>
      <c r="D136" s="178"/>
    </row>
    <row r="137" spans="1:4">
      <c r="A137" s="164" t="s">
        <v>41</v>
      </c>
      <c r="B137" s="178" t="s">
        <v>449</v>
      </c>
      <c r="C137" s="164">
        <v>7</v>
      </c>
      <c r="D137" s="178"/>
    </row>
    <row r="138" spans="1:4">
      <c r="A138" s="164" t="s">
        <v>41</v>
      </c>
      <c r="B138" s="178" t="s">
        <v>450</v>
      </c>
      <c r="C138" s="164">
        <v>5</v>
      </c>
      <c r="D138" s="178"/>
    </row>
    <row r="139" spans="1:4">
      <c r="A139" s="164" t="s">
        <v>41</v>
      </c>
      <c r="B139" s="178" t="s">
        <v>451</v>
      </c>
      <c r="C139" s="164">
        <v>5</v>
      </c>
      <c r="D139" s="178"/>
    </row>
    <row r="140" spans="1:4">
      <c r="A140" s="164" t="s">
        <v>41</v>
      </c>
      <c r="B140" s="178" t="s">
        <v>452</v>
      </c>
      <c r="C140" s="164">
        <v>7</v>
      </c>
      <c r="D140" s="178"/>
    </row>
    <row r="141" spans="1:4">
      <c r="A141" s="164" t="s">
        <v>41</v>
      </c>
      <c r="B141" s="178" t="s">
        <v>453</v>
      </c>
      <c r="C141" s="164">
        <v>3</v>
      </c>
      <c r="D141" s="178"/>
    </row>
    <row r="142" spans="1:4">
      <c r="A142" s="164" t="s">
        <v>41</v>
      </c>
      <c r="B142" s="178" t="s">
        <v>454</v>
      </c>
      <c r="C142" s="164">
        <v>7</v>
      </c>
      <c r="D142" s="178"/>
    </row>
    <row r="143" spans="1:4">
      <c r="A143" s="164" t="s">
        <v>41</v>
      </c>
      <c r="B143" s="178" t="s">
        <v>455</v>
      </c>
      <c r="C143" s="164">
        <v>7</v>
      </c>
      <c r="D143" s="178"/>
    </row>
    <row r="144" spans="1:4">
      <c r="A144" s="164" t="s">
        <v>41</v>
      </c>
      <c r="B144" s="178" t="s">
        <v>456</v>
      </c>
      <c r="C144" s="164">
        <v>7</v>
      </c>
      <c r="D144" s="178"/>
    </row>
    <row r="145" spans="1:4">
      <c r="A145" s="164" t="s">
        <v>41</v>
      </c>
      <c r="B145" s="178" t="s">
        <v>457</v>
      </c>
      <c r="C145" s="164">
        <v>4</v>
      </c>
      <c r="D145" s="178"/>
    </row>
    <row r="146" spans="1:4">
      <c r="A146" s="164" t="s">
        <v>41</v>
      </c>
      <c r="B146" s="178" t="s">
        <v>458</v>
      </c>
      <c r="C146" s="164">
        <v>4</v>
      </c>
      <c r="D146" s="178"/>
    </row>
    <row r="147" spans="1:4">
      <c r="A147" s="164" t="s">
        <v>41</v>
      </c>
      <c r="B147" s="178" t="s">
        <v>459</v>
      </c>
      <c r="C147" s="164">
        <v>5</v>
      </c>
      <c r="D147" s="178"/>
    </row>
    <row r="148" spans="1:4">
      <c r="A148" s="164" t="s">
        <v>41</v>
      </c>
      <c r="B148" s="178" t="s">
        <v>460</v>
      </c>
      <c r="C148" s="164">
        <v>4</v>
      </c>
      <c r="D148" s="178"/>
    </row>
    <row r="149" spans="1:4">
      <c r="A149" s="164" t="s">
        <v>41</v>
      </c>
      <c r="B149" s="178" t="s">
        <v>461</v>
      </c>
      <c r="C149" s="164">
        <v>5</v>
      </c>
      <c r="D149" s="178"/>
    </row>
    <row r="150" spans="1:4">
      <c r="A150" s="164" t="s">
        <v>41</v>
      </c>
      <c r="B150" s="178" t="s">
        <v>462</v>
      </c>
      <c r="C150" s="164">
        <v>7</v>
      </c>
      <c r="D150" s="178"/>
    </row>
    <row r="151" spans="1:4">
      <c r="A151" s="164" t="s">
        <v>41</v>
      </c>
      <c r="B151" s="178" t="s">
        <v>463</v>
      </c>
      <c r="C151" s="164">
        <v>7</v>
      </c>
      <c r="D151" s="178"/>
    </row>
    <row r="152" spans="1:4">
      <c r="A152" s="164" t="s">
        <v>41</v>
      </c>
      <c r="B152" s="178" t="s">
        <v>464</v>
      </c>
      <c r="C152" s="164">
        <v>5</v>
      </c>
      <c r="D152" s="178"/>
    </row>
    <row r="153" spans="1:4">
      <c r="A153" s="164" t="s">
        <v>41</v>
      </c>
      <c r="B153" s="178" t="s">
        <v>465</v>
      </c>
      <c r="C153" s="164">
        <v>5</v>
      </c>
      <c r="D153" s="178"/>
    </row>
    <row r="154" spans="1:4">
      <c r="A154" s="164" t="s">
        <v>41</v>
      </c>
      <c r="B154" s="178" t="s">
        <v>466</v>
      </c>
      <c r="C154" s="164">
        <v>4</v>
      </c>
      <c r="D154" s="178"/>
    </row>
    <row r="155" spans="1:4">
      <c r="A155" s="164" t="s">
        <v>41</v>
      </c>
      <c r="B155" s="178" t="s">
        <v>467</v>
      </c>
      <c r="C155" s="164">
        <v>8</v>
      </c>
      <c r="D155" s="178"/>
    </row>
    <row r="156" spans="1:4">
      <c r="A156" s="164" t="s">
        <v>41</v>
      </c>
      <c r="B156" s="178" t="s">
        <v>468</v>
      </c>
      <c r="C156" s="164">
        <v>7</v>
      </c>
      <c r="D156" s="178"/>
    </row>
    <row r="157" spans="1:4">
      <c r="A157" s="164" t="s">
        <v>41</v>
      </c>
      <c r="B157" s="178" t="s">
        <v>469</v>
      </c>
      <c r="C157" s="164">
        <v>5</v>
      </c>
      <c r="D157" s="178"/>
    </row>
    <row r="158" spans="1:4">
      <c r="A158" s="164" t="s">
        <v>41</v>
      </c>
      <c r="B158" s="178" t="s">
        <v>470</v>
      </c>
      <c r="C158" s="164">
        <v>5</v>
      </c>
      <c r="D158" s="178"/>
    </row>
    <row r="159" spans="1:4">
      <c r="A159" s="164" t="s">
        <v>471</v>
      </c>
      <c r="B159" s="178" t="s">
        <v>472</v>
      </c>
      <c r="C159" s="164" t="s">
        <v>95</v>
      </c>
      <c r="D159" s="179" t="s">
        <v>473</v>
      </c>
    </row>
    <row r="160" spans="1:4">
      <c r="A160" s="164" t="s">
        <v>471</v>
      </c>
      <c r="B160" s="178" t="s">
        <v>474</v>
      </c>
      <c r="C160" s="164" t="s">
        <v>95</v>
      </c>
      <c r="D160" s="179" t="s">
        <v>473</v>
      </c>
    </row>
    <row r="161" spans="1:4">
      <c r="A161" s="164" t="s">
        <v>471</v>
      </c>
      <c r="B161" s="178" t="s">
        <v>475</v>
      </c>
      <c r="C161" s="164" t="s">
        <v>95</v>
      </c>
      <c r="D161" s="179" t="s">
        <v>473</v>
      </c>
    </row>
    <row r="162" spans="1:4">
      <c r="A162" s="164" t="s">
        <v>471</v>
      </c>
      <c r="B162" s="178" t="s">
        <v>476</v>
      </c>
      <c r="C162" s="164" t="s">
        <v>95</v>
      </c>
      <c r="D162" s="179" t="s">
        <v>473</v>
      </c>
    </row>
    <row r="163" spans="1:4">
      <c r="A163" s="164" t="s">
        <v>471</v>
      </c>
      <c r="B163" s="178" t="s">
        <v>477</v>
      </c>
      <c r="C163" s="164" t="s">
        <v>95</v>
      </c>
      <c r="D163" s="179" t="s">
        <v>473</v>
      </c>
    </row>
    <row r="164" spans="1:4">
      <c r="A164" s="164" t="s">
        <v>471</v>
      </c>
      <c r="B164" s="178" t="s">
        <v>478</v>
      </c>
      <c r="C164" s="164" t="s">
        <v>95</v>
      </c>
      <c r="D164" s="179" t="s">
        <v>473</v>
      </c>
    </row>
    <row r="165" spans="1:4">
      <c r="A165" s="164" t="s">
        <v>471</v>
      </c>
      <c r="B165" s="178" t="s">
        <v>479</v>
      </c>
      <c r="C165" s="164" t="s">
        <v>95</v>
      </c>
      <c r="D165" s="179" t="s">
        <v>473</v>
      </c>
    </row>
    <row r="166" spans="1:4">
      <c r="A166" s="164" t="s">
        <v>471</v>
      </c>
      <c r="B166" s="178" t="s">
        <v>480</v>
      </c>
      <c r="C166" s="164" t="s">
        <v>95</v>
      </c>
      <c r="D166" s="179" t="s">
        <v>473</v>
      </c>
    </row>
    <row r="167" spans="1:4">
      <c r="A167" s="164" t="s">
        <v>471</v>
      </c>
      <c r="B167" s="178" t="s">
        <v>481</v>
      </c>
      <c r="C167" s="164" t="s">
        <v>95</v>
      </c>
      <c r="D167" s="179" t="s">
        <v>473</v>
      </c>
    </row>
    <row r="168" spans="1:4">
      <c r="A168" s="164" t="s">
        <v>471</v>
      </c>
      <c r="B168" s="178" t="s">
        <v>482</v>
      </c>
      <c r="C168" s="164" t="s">
        <v>95</v>
      </c>
      <c r="D168" s="179" t="s">
        <v>473</v>
      </c>
    </row>
    <row r="169" spans="1:4">
      <c r="A169" s="164" t="s">
        <v>471</v>
      </c>
      <c r="B169" s="178" t="s">
        <v>483</v>
      </c>
      <c r="C169" s="164" t="s">
        <v>95</v>
      </c>
      <c r="D169" s="179" t="s">
        <v>473</v>
      </c>
    </row>
    <row r="170" spans="1:4">
      <c r="A170" s="164" t="s">
        <v>471</v>
      </c>
      <c r="B170" s="178" t="s">
        <v>484</v>
      </c>
      <c r="C170" s="164" t="s">
        <v>95</v>
      </c>
      <c r="D170" s="179" t="s">
        <v>473</v>
      </c>
    </row>
    <row r="171" spans="1:4">
      <c r="A171" s="164" t="s">
        <v>471</v>
      </c>
      <c r="B171" s="178" t="s">
        <v>485</v>
      </c>
      <c r="C171" s="164" t="s">
        <v>95</v>
      </c>
      <c r="D171" s="179" t="s">
        <v>473</v>
      </c>
    </row>
    <row r="172" spans="1:4">
      <c r="A172" s="164" t="s">
        <v>471</v>
      </c>
      <c r="B172" s="178" t="s">
        <v>486</v>
      </c>
      <c r="C172" s="164" t="s">
        <v>95</v>
      </c>
      <c r="D172" s="179" t="s">
        <v>473</v>
      </c>
    </row>
    <row r="173" spans="1:4">
      <c r="A173" s="164" t="s">
        <v>471</v>
      </c>
      <c r="B173" s="178" t="s">
        <v>487</v>
      </c>
      <c r="C173" s="164" t="s">
        <v>95</v>
      </c>
      <c r="D173" s="179" t="s">
        <v>473</v>
      </c>
    </row>
    <row r="174" spans="1:4">
      <c r="A174" s="164" t="s">
        <v>471</v>
      </c>
      <c r="B174" s="178" t="s">
        <v>488</v>
      </c>
      <c r="C174" s="164" t="s">
        <v>95</v>
      </c>
      <c r="D174" s="179" t="s">
        <v>473</v>
      </c>
    </row>
    <row r="175" spans="1:4">
      <c r="A175" s="164" t="s">
        <v>471</v>
      </c>
      <c r="B175" s="178" t="s">
        <v>489</v>
      </c>
      <c r="C175" s="164" t="s">
        <v>95</v>
      </c>
      <c r="D175" s="179" t="s">
        <v>473</v>
      </c>
    </row>
    <row r="176" spans="1:4">
      <c r="A176" s="164" t="s">
        <v>471</v>
      </c>
      <c r="B176" s="178" t="s">
        <v>490</v>
      </c>
      <c r="C176" s="164" t="s">
        <v>95</v>
      </c>
      <c r="D176" s="179" t="s">
        <v>473</v>
      </c>
    </row>
    <row r="177" spans="1:4">
      <c r="A177" s="164" t="s">
        <v>471</v>
      </c>
      <c r="B177" s="178" t="s">
        <v>491</v>
      </c>
      <c r="C177" s="164" t="s">
        <v>95</v>
      </c>
      <c r="D177" s="179" t="s">
        <v>473</v>
      </c>
    </row>
    <row r="178" spans="1:4">
      <c r="A178" s="164" t="s">
        <v>471</v>
      </c>
      <c r="B178" s="178" t="s">
        <v>492</v>
      </c>
      <c r="C178" s="164" t="s">
        <v>95</v>
      </c>
      <c r="D178" s="179" t="s">
        <v>473</v>
      </c>
    </row>
    <row r="179" spans="1:4">
      <c r="A179" s="164" t="s">
        <v>471</v>
      </c>
      <c r="B179" s="178" t="s">
        <v>493</v>
      </c>
      <c r="C179" s="164" t="s">
        <v>95</v>
      </c>
      <c r="D179" s="179" t="s">
        <v>473</v>
      </c>
    </row>
    <row r="180" spans="1:4">
      <c r="A180" s="164" t="s">
        <v>471</v>
      </c>
      <c r="B180" s="178" t="s">
        <v>494</v>
      </c>
      <c r="C180" s="164" t="s">
        <v>95</v>
      </c>
      <c r="D180" s="179" t="s">
        <v>473</v>
      </c>
    </row>
    <row r="181" spans="1:4">
      <c r="A181" s="164" t="s">
        <v>471</v>
      </c>
      <c r="B181" s="178" t="s">
        <v>495</v>
      </c>
      <c r="C181" s="164" t="s">
        <v>95</v>
      </c>
      <c r="D181" s="179" t="s">
        <v>473</v>
      </c>
    </row>
    <row r="182" spans="1:4">
      <c r="A182" s="164" t="s">
        <v>471</v>
      </c>
      <c r="B182" s="178" t="s">
        <v>496</v>
      </c>
      <c r="C182" s="164" t="s">
        <v>95</v>
      </c>
      <c r="D182" s="179" t="s">
        <v>473</v>
      </c>
    </row>
    <row r="183" spans="1:4">
      <c r="A183" s="164" t="s">
        <v>471</v>
      </c>
      <c r="B183" s="178" t="s">
        <v>497</v>
      </c>
      <c r="C183" s="164" t="s">
        <v>95</v>
      </c>
      <c r="D183" s="179" t="s">
        <v>473</v>
      </c>
    </row>
    <row r="184" spans="1:4">
      <c r="A184" s="164" t="s">
        <v>471</v>
      </c>
      <c r="B184" s="178" t="s">
        <v>498</v>
      </c>
      <c r="C184" s="164" t="s">
        <v>95</v>
      </c>
      <c r="D184" s="179" t="s">
        <v>473</v>
      </c>
    </row>
    <row r="185" spans="1:4">
      <c r="A185" s="164" t="s">
        <v>471</v>
      </c>
      <c r="B185" s="178" t="s">
        <v>499</v>
      </c>
      <c r="C185" s="164" t="s">
        <v>95</v>
      </c>
      <c r="D185" s="179" t="s">
        <v>473</v>
      </c>
    </row>
    <row r="186" spans="1:4">
      <c r="A186" s="180" t="s">
        <v>471</v>
      </c>
      <c r="B186" s="181" t="s">
        <v>500</v>
      </c>
      <c r="C186" s="180" t="s">
        <v>95</v>
      </c>
      <c r="D186" s="179" t="s">
        <v>473</v>
      </c>
    </row>
    <row r="187" spans="1:4">
      <c r="A187" s="180" t="s">
        <v>471</v>
      </c>
      <c r="B187" s="181" t="s">
        <v>501</v>
      </c>
      <c r="C187" s="180" t="s">
        <v>95</v>
      </c>
      <c r="D187" s="179" t="s">
        <v>473</v>
      </c>
    </row>
    <row r="188" spans="1:4">
      <c r="A188" s="180" t="s">
        <v>471</v>
      </c>
      <c r="B188" s="181" t="s">
        <v>502</v>
      </c>
      <c r="C188" s="180" t="s">
        <v>95</v>
      </c>
      <c r="D188" s="179" t="s">
        <v>473</v>
      </c>
    </row>
    <row r="189" spans="1:4">
      <c r="A189" s="180" t="s">
        <v>471</v>
      </c>
      <c r="B189" s="181" t="s">
        <v>503</v>
      </c>
      <c r="C189" s="180" t="s">
        <v>95</v>
      </c>
      <c r="D189" s="179" t="s">
        <v>473</v>
      </c>
    </row>
    <row r="190" spans="1:4">
      <c r="A190" s="180" t="s">
        <v>471</v>
      </c>
      <c r="B190" s="181" t="s">
        <v>504</v>
      </c>
      <c r="C190" s="180" t="s">
        <v>95</v>
      </c>
      <c r="D190" s="179" t="s">
        <v>473</v>
      </c>
    </row>
    <row r="191" spans="1:4">
      <c r="A191" s="180" t="s">
        <v>471</v>
      </c>
      <c r="B191" s="181" t="s">
        <v>505</v>
      </c>
      <c r="C191" s="180" t="s">
        <v>95</v>
      </c>
      <c r="D191" s="179" t="s">
        <v>473</v>
      </c>
    </row>
    <row r="192" spans="1:4">
      <c r="A192" s="180" t="s">
        <v>471</v>
      </c>
      <c r="B192" s="181" t="s">
        <v>506</v>
      </c>
      <c r="C192" s="180" t="s">
        <v>95</v>
      </c>
      <c r="D192" s="179" t="s">
        <v>473</v>
      </c>
    </row>
    <row r="193" spans="1:4">
      <c r="A193" s="180" t="s">
        <v>471</v>
      </c>
      <c r="B193" s="181" t="s">
        <v>507</v>
      </c>
      <c r="C193" s="180" t="s">
        <v>95</v>
      </c>
      <c r="D193" s="179" t="s">
        <v>473</v>
      </c>
    </row>
    <row r="194" spans="1:4">
      <c r="A194" s="180" t="s">
        <v>471</v>
      </c>
      <c r="B194" s="181" t="s">
        <v>508</v>
      </c>
      <c r="C194" s="180" t="s">
        <v>95</v>
      </c>
      <c r="D194" s="179" t="s">
        <v>473</v>
      </c>
    </row>
    <row r="195" spans="1:4">
      <c r="A195" s="180" t="s">
        <v>471</v>
      </c>
      <c r="B195" s="181" t="s">
        <v>509</v>
      </c>
      <c r="C195" s="180" t="s">
        <v>95</v>
      </c>
      <c r="D195" s="179" t="s">
        <v>473</v>
      </c>
    </row>
    <row r="196" spans="1:4">
      <c r="A196" s="180" t="s">
        <v>471</v>
      </c>
      <c r="B196" s="181" t="s">
        <v>510</v>
      </c>
      <c r="C196" s="180" t="s">
        <v>95</v>
      </c>
      <c r="D196" s="179" t="s">
        <v>473</v>
      </c>
    </row>
    <row r="197" spans="1:4">
      <c r="A197" s="180" t="s">
        <v>471</v>
      </c>
      <c r="B197" s="181" t="s">
        <v>511</v>
      </c>
      <c r="C197" s="180" t="s">
        <v>95</v>
      </c>
      <c r="D197" s="179" t="s">
        <v>473</v>
      </c>
    </row>
    <row r="198" spans="1:4">
      <c r="A198" s="180" t="s">
        <v>471</v>
      </c>
      <c r="B198" s="181" t="s">
        <v>512</v>
      </c>
      <c r="C198" s="180" t="s">
        <v>95</v>
      </c>
      <c r="D198" s="179" t="s">
        <v>473</v>
      </c>
    </row>
    <row r="199" spans="1:4">
      <c r="A199" s="180" t="s">
        <v>471</v>
      </c>
      <c r="B199" s="181" t="s">
        <v>513</v>
      </c>
      <c r="C199" s="180" t="s">
        <v>95</v>
      </c>
      <c r="D199" s="179" t="s">
        <v>473</v>
      </c>
    </row>
    <row r="200" spans="1:4">
      <c r="A200" s="180" t="s">
        <v>471</v>
      </c>
      <c r="B200" s="181" t="s">
        <v>514</v>
      </c>
      <c r="C200" s="180" t="s">
        <v>95</v>
      </c>
      <c r="D200" s="179" t="s">
        <v>473</v>
      </c>
    </row>
    <row r="201" spans="1:4">
      <c r="A201" s="180" t="s">
        <v>471</v>
      </c>
      <c r="B201" s="181" t="s">
        <v>515</v>
      </c>
      <c r="C201" s="180" t="s">
        <v>95</v>
      </c>
      <c r="D201" s="179" t="s">
        <v>473</v>
      </c>
    </row>
    <row r="202" spans="1:4">
      <c r="A202" s="180" t="s">
        <v>471</v>
      </c>
      <c r="B202" s="181" t="s">
        <v>516</v>
      </c>
      <c r="C202" s="180" t="s">
        <v>95</v>
      </c>
      <c r="D202" s="179" t="s">
        <v>473</v>
      </c>
    </row>
    <row r="203" spans="1:4">
      <c r="A203" s="180" t="s">
        <v>471</v>
      </c>
      <c r="B203" s="181" t="s">
        <v>517</v>
      </c>
      <c r="C203" s="180" t="s">
        <v>95</v>
      </c>
      <c r="D203" s="179" t="s">
        <v>473</v>
      </c>
    </row>
    <row r="204" spans="1:4">
      <c r="A204" s="180" t="s">
        <v>471</v>
      </c>
      <c r="B204" s="181" t="s">
        <v>518</v>
      </c>
      <c r="C204" s="180" t="s">
        <v>95</v>
      </c>
      <c r="D204" s="179" t="s">
        <v>473</v>
      </c>
    </row>
    <row r="205" spans="1:4">
      <c r="A205" s="180" t="s">
        <v>471</v>
      </c>
      <c r="B205" s="181" t="s">
        <v>519</v>
      </c>
      <c r="C205" s="180" t="s">
        <v>95</v>
      </c>
      <c r="D205" s="179" t="s">
        <v>473</v>
      </c>
    </row>
    <row r="206" spans="1:4">
      <c r="A206" s="180" t="s">
        <v>471</v>
      </c>
      <c r="B206" s="181" t="s">
        <v>520</v>
      </c>
      <c r="C206" s="180" t="s">
        <v>95</v>
      </c>
      <c r="D206" s="179" t="s">
        <v>473</v>
      </c>
    </row>
    <row r="207" spans="1:4">
      <c r="A207" s="180" t="s">
        <v>471</v>
      </c>
      <c r="B207" s="181" t="s">
        <v>521</v>
      </c>
      <c r="C207" s="180" t="s">
        <v>95</v>
      </c>
      <c r="D207" s="179" t="s">
        <v>473</v>
      </c>
    </row>
    <row r="208" spans="1:4">
      <c r="A208" s="180" t="s">
        <v>471</v>
      </c>
      <c r="B208" s="181" t="s">
        <v>522</v>
      </c>
      <c r="C208" s="180" t="s">
        <v>95</v>
      </c>
      <c r="D208" s="179" t="s">
        <v>473</v>
      </c>
    </row>
    <row r="209" spans="1:4">
      <c r="A209" s="180" t="s">
        <v>471</v>
      </c>
      <c r="B209" s="181" t="s">
        <v>523</v>
      </c>
      <c r="C209" s="180" t="s">
        <v>95</v>
      </c>
      <c r="D209" s="179" t="s">
        <v>473</v>
      </c>
    </row>
    <row r="210" spans="1:4">
      <c r="A210" s="180" t="s">
        <v>471</v>
      </c>
      <c r="B210" s="181" t="s">
        <v>524</v>
      </c>
      <c r="C210" s="180" t="s">
        <v>95</v>
      </c>
      <c r="D210" s="179" t="s">
        <v>473</v>
      </c>
    </row>
    <row r="211" spans="1:4">
      <c r="A211" s="180" t="s">
        <v>471</v>
      </c>
      <c r="B211" s="181" t="s">
        <v>525</v>
      </c>
      <c r="C211" s="180" t="s">
        <v>95</v>
      </c>
      <c r="D211" s="179" t="s">
        <v>473</v>
      </c>
    </row>
    <row r="212" spans="1:4">
      <c r="A212" s="180" t="s">
        <v>471</v>
      </c>
      <c r="B212" s="181" t="s">
        <v>526</v>
      </c>
      <c r="C212" s="180" t="s">
        <v>95</v>
      </c>
      <c r="D212" s="179" t="s">
        <v>473</v>
      </c>
    </row>
    <row r="213" spans="1:4">
      <c r="A213" s="180" t="s">
        <v>471</v>
      </c>
      <c r="B213" s="181" t="s">
        <v>527</v>
      </c>
      <c r="C213" s="180" t="s">
        <v>95</v>
      </c>
      <c r="D213" s="179" t="s">
        <v>473</v>
      </c>
    </row>
    <row r="214" spans="1:4">
      <c r="A214" s="180" t="s">
        <v>471</v>
      </c>
      <c r="B214" s="181" t="s">
        <v>528</v>
      </c>
      <c r="C214" s="180" t="s">
        <v>95</v>
      </c>
      <c r="D214" s="179" t="s">
        <v>473</v>
      </c>
    </row>
    <row r="215" spans="1:4">
      <c r="A215" s="180" t="s">
        <v>471</v>
      </c>
      <c r="B215" s="181" t="s">
        <v>529</v>
      </c>
      <c r="C215" s="180" t="s">
        <v>95</v>
      </c>
      <c r="D215" s="179" t="s">
        <v>473</v>
      </c>
    </row>
    <row r="216" spans="1:4">
      <c r="A216" s="180" t="s">
        <v>471</v>
      </c>
      <c r="B216" s="181" t="s">
        <v>530</v>
      </c>
      <c r="C216" s="180" t="s">
        <v>95</v>
      </c>
      <c r="D216" s="179" t="s">
        <v>473</v>
      </c>
    </row>
    <row r="217" spans="1:4">
      <c r="A217" s="180" t="s">
        <v>471</v>
      </c>
      <c r="B217" s="181" t="s">
        <v>531</v>
      </c>
      <c r="C217" s="180" t="s">
        <v>95</v>
      </c>
      <c r="D217" s="179" t="s">
        <v>473</v>
      </c>
    </row>
    <row r="218" spans="1:4">
      <c r="A218" s="180" t="s">
        <v>471</v>
      </c>
      <c r="B218" s="181" t="s">
        <v>532</v>
      </c>
      <c r="C218" s="180" t="s">
        <v>95</v>
      </c>
      <c r="D218" s="179" t="s">
        <v>473</v>
      </c>
    </row>
    <row r="219" spans="1:4">
      <c r="A219" s="180" t="s">
        <v>471</v>
      </c>
      <c r="B219" s="181" t="s">
        <v>533</v>
      </c>
      <c r="C219" s="180" t="s">
        <v>95</v>
      </c>
      <c r="D219" s="179" t="s">
        <v>473</v>
      </c>
    </row>
    <row r="220" spans="1:4">
      <c r="A220" s="180" t="s">
        <v>471</v>
      </c>
      <c r="B220" s="181" t="s">
        <v>534</v>
      </c>
      <c r="C220" s="180" t="s">
        <v>95</v>
      </c>
      <c r="D220" s="179" t="s">
        <v>473</v>
      </c>
    </row>
    <row r="221" spans="1:4">
      <c r="A221" s="180" t="s">
        <v>471</v>
      </c>
      <c r="B221" s="181" t="s">
        <v>535</v>
      </c>
      <c r="C221" s="180" t="s">
        <v>95</v>
      </c>
      <c r="D221" s="179" t="s">
        <v>473</v>
      </c>
    </row>
    <row r="222" spans="1:4">
      <c r="A222" s="180" t="s">
        <v>471</v>
      </c>
      <c r="B222" s="181" t="s">
        <v>536</v>
      </c>
      <c r="C222" s="180" t="s">
        <v>95</v>
      </c>
      <c r="D222" s="179" t="s">
        <v>473</v>
      </c>
    </row>
    <row r="223" spans="1:4">
      <c r="A223" s="180" t="s">
        <v>471</v>
      </c>
      <c r="B223" s="181" t="s">
        <v>537</v>
      </c>
      <c r="C223" s="180" t="s">
        <v>95</v>
      </c>
      <c r="D223" s="179" t="s">
        <v>473</v>
      </c>
    </row>
    <row r="224" spans="1:4">
      <c r="A224" s="180" t="s">
        <v>471</v>
      </c>
      <c r="B224" s="181" t="s">
        <v>474</v>
      </c>
      <c r="C224" s="180" t="s">
        <v>95</v>
      </c>
      <c r="D224" s="179" t="s">
        <v>473</v>
      </c>
    </row>
    <row r="225" spans="1:4">
      <c r="A225" s="180" t="s">
        <v>471</v>
      </c>
      <c r="B225" s="181" t="s">
        <v>538</v>
      </c>
      <c r="C225" s="180" t="s">
        <v>95</v>
      </c>
      <c r="D225" s="179" t="s">
        <v>473</v>
      </c>
    </row>
    <row r="226" spans="1:4">
      <c r="A226" s="180" t="s">
        <v>471</v>
      </c>
      <c r="B226" s="181" t="s">
        <v>539</v>
      </c>
      <c r="C226" s="180" t="s">
        <v>95</v>
      </c>
      <c r="D226" s="179" t="s">
        <v>473</v>
      </c>
    </row>
    <row r="227" spans="1:4">
      <c r="A227" s="180" t="s">
        <v>471</v>
      </c>
      <c r="B227" s="181" t="s">
        <v>540</v>
      </c>
      <c r="C227" s="180" t="s">
        <v>95</v>
      </c>
      <c r="D227" s="179" t="s">
        <v>473</v>
      </c>
    </row>
    <row r="228" spans="1:4">
      <c r="A228" s="180" t="s">
        <v>471</v>
      </c>
      <c r="B228" s="181" t="s">
        <v>541</v>
      </c>
      <c r="C228" s="180" t="s">
        <v>95</v>
      </c>
      <c r="D228" s="179" t="s">
        <v>473</v>
      </c>
    </row>
    <row r="229" spans="1:4">
      <c r="A229" s="180" t="s">
        <v>471</v>
      </c>
      <c r="B229" s="181" t="s">
        <v>542</v>
      </c>
      <c r="C229" s="180" t="s">
        <v>95</v>
      </c>
      <c r="D229" s="179" t="s">
        <v>473</v>
      </c>
    </row>
    <row r="230" spans="1:4">
      <c r="A230" s="180" t="s">
        <v>471</v>
      </c>
      <c r="B230" s="181" t="s">
        <v>543</v>
      </c>
      <c r="C230" s="180" t="s">
        <v>95</v>
      </c>
      <c r="D230" s="179" t="s">
        <v>473</v>
      </c>
    </row>
    <row r="232" spans="1:4">
      <c r="B232" s="182" t="s">
        <v>97</v>
      </c>
    </row>
    <row r="233" spans="1:4">
      <c r="B233" s="183" t="str">
        <f>+Info!B1</f>
        <v>Ficheiro Apoio_LUMP SUM_V2026.02.24</v>
      </c>
    </row>
  </sheetData>
  <sheetProtection algorithmName="SHA-512" hashValue="CE5copjkMDiEhwQmwt7pjY6+GgLuY/fPmYVOxGKmNfkcM5NKzfPsi/L15ZBZ9T14nw9a9l2GZPFW2rP/3kN8Qg==" saltValue="EBa7YdFiV+BNJDcyF/3PvA==" spinCount="100000" sheet="1" formatRows="0" autoFilter="0"/>
  <dataConsolidate/>
  <mergeCells count="17">
    <mergeCell ref="AJ1:BC1"/>
    <mergeCell ref="A1:H1"/>
    <mergeCell ref="I1:J1"/>
    <mergeCell ref="A25:D25"/>
    <mergeCell ref="J27:J28"/>
    <mergeCell ref="AG1:AI1"/>
    <mergeCell ref="G25:H25"/>
    <mergeCell ref="G26:I27"/>
    <mergeCell ref="L1:AF1"/>
    <mergeCell ref="G36:I37"/>
    <mergeCell ref="G38:I39"/>
    <mergeCell ref="J29:J30"/>
    <mergeCell ref="J31:J32"/>
    <mergeCell ref="J33:J34"/>
    <mergeCell ref="G30:I31"/>
    <mergeCell ref="G32:I33"/>
    <mergeCell ref="G34:I35"/>
  </mergeCells>
  <conditionalFormatting sqref="B3:F22">
    <cfRule type="cellIs" dxfId="229" priority="24" operator="lessThanOrEqual">
      <formula>0</formula>
    </cfRule>
    <cfRule type="containsBlanks" dxfId="228" priority="26">
      <formula>LEN(TRIM(B3))=0</formula>
    </cfRule>
  </conditionalFormatting>
  <conditionalFormatting sqref="B3:I22">
    <cfRule type="containsBlanks" dxfId="227" priority="21" stopIfTrue="1">
      <formula>LEN(TRIM(B3))=0</formula>
    </cfRule>
  </conditionalFormatting>
  <conditionalFormatting sqref="D3:D22">
    <cfRule type="cellIs" priority="22" operator="greaterThanOrEqual">
      <formula>0</formula>
    </cfRule>
    <cfRule type="containsText" dxfId="226" priority="23" operator="containsText" text="&quot;&quot;">
      <formula>NOT(ISERROR(SEARCH("""""",D3)))</formula>
    </cfRule>
  </conditionalFormatting>
  <conditionalFormatting sqref="G26:I27">
    <cfRule type="containsText" dxfId="225" priority="10" operator="containsText" text="Alert">
      <formula>NOT(ISERROR(SEARCH("Alert",G26)))</formula>
    </cfRule>
  </conditionalFormatting>
  <conditionalFormatting sqref="H3:H22">
    <cfRule type="containsText" dxfId="224" priority="20" operator="containsText" text="Dados incompletos">
      <formula>NOT(ISERROR(SEARCH("Dados incompletos",H3)))</formula>
    </cfRule>
  </conditionalFormatting>
  <conditionalFormatting sqref="I3:I22">
    <cfRule type="cellIs" dxfId="223" priority="15" operator="lessThanOrEqual">
      <formula>0</formula>
    </cfRule>
    <cfRule type="containsBlanks" dxfId="222" priority="25">
      <formula>LEN(TRIM(I3))=0</formula>
    </cfRule>
  </conditionalFormatting>
  <conditionalFormatting sqref="I1:J1">
    <cfRule type="containsText" dxfId="221" priority="18" operator="containsText" text="ERRO!">
      <formula>NOT(ISERROR(SEARCH("ERRO!",I1)))</formula>
    </cfRule>
  </conditionalFormatting>
  <conditionalFormatting sqref="J3:J22">
    <cfRule type="containsText" dxfId="220" priority="17" stopIfTrue="1" operator="containsText" text="ERRO">
      <formula>NOT(ISERROR(SEARCH("ERRO",J3)))</formula>
    </cfRule>
  </conditionalFormatting>
  <conditionalFormatting sqref="K3:K22">
    <cfRule type="containsText" dxfId="219" priority="13" operator="containsText" text="Alert">
      <formula>NOT(ISERROR(SEARCH("Alert",K3)))</formula>
    </cfRule>
    <cfRule type="containsText" dxfId="218" priority="16" operator="containsText" text="ERRO">
      <formula>NOT(ISERROR(SEARCH("ERRO",K3)))</formula>
    </cfRule>
  </conditionalFormatting>
  <conditionalFormatting sqref="L2:AE2">
    <cfRule type="containsText" dxfId="217" priority="2" operator="containsText" text="S/T">
      <formula>NOT(ISERROR(SEARCH("S/T",L2)))</formula>
    </cfRule>
  </conditionalFormatting>
  <conditionalFormatting sqref="AF3:AF22">
    <cfRule type="cellIs" dxfId="216" priority="1" operator="notEqual">
      <formula>1</formula>
    </cfRule>
    <cfRule type="cellIs" dxfId="215" priority="7" operator="lessThan">
      <formula>1</formula>
    </cfRule>
  </conditionalFormatting>
  <conditionalFormatting sqref="BD3:BE22">
    <cfRule type="containsText" dxfId="214" priority="3" operator="containsText" text="Alert">
      <formula>NOT(ISERROR(SEARCH("Alert",BD3)))</formula>
    </cfRule>
    <cfRule type="containsText" dxfId="213" priority="4" operator="containsText" text="ERRO">
      <formula>NOT(ISERROR(SEARCH("ERRO",BD3)))</formula>
    </cfRule>
  </conditionalFormatting>
  <dataValidations count="7">
    <dataValidation type="list" allowBlank="1" showInputMessage="1" showErrorMessage="1" sqref="D3:D22" xr:uid="{2F56EDF5-F2EA-48B6-863A-B0A30A22A7D5}">
      <formula1>"1,3,4,5,6,7,8,10"</formula1>
    </dataValidation>
    <dataValidation allowBlank="1" showInputMessage="1" showErrorMessage="1" promptTitle="Amortization Period" prompt="Equipment up to 1000€ (base value) depreciated in the month of purchase (choose 1)_x000a__x000a_Equipment worth more than 1000€ (base value) depreciated over the periods shown in the table below." sqref="D2" xr:uid="{23430F39-6E33-4E89-ACE6-E9B51B657086}"/>
    <dataValidation type="decimal" operator="greaterThan" allowBlank="1" showInputMessage="1" showErrorMessage="1" sqref="C3:C22" xr:uid="{24AC24A3-A477-422B-BCB5-67515038735B}">
      <formula1>1</formula1>
    </dataValidation>
    <dataValidation allowBlank="1" showInputMessage="1" showErrorMessage="1" promptTitle="Imputed Months" prompt="In the number of months of amortization attributable to the project, you can take into account the number of extension months allowed by the call regulations." sqref="F2" xr:uid="{3409A5E2-96B6-4585-ACB2-71E14EE47EF0}"/>
    <dataValidation allowBlank="1" showInputMessage="1" showErrorMessage="1" promptTitle="Acquisition Month" prompt="We recommend purchasing the equipment at the beginning of the project." sqref="E2" xr:uid="{0834F856-ED14-4008-9B44-4FD84DD8A8A1}"/>
    <dataValidation allowBlank="1" showInputMessage="1" showErrorMessage="1" promptTitle="VAT" prompt="Base value only (excluding VAT) - VAT refunded" sqref="AG2" xr:uid="{66CE1C89-F28D-4131-95D9-E633E2931C04}"/>
    <dataValidation allowBlank="1" showInputMessage="1" showErrorMessage="1" promptTitle="VAT" prompt="In non-eligible costs, VAT is being considered as a cost (VAT not refunded)" sqref="AH2 AI2" xr:uid="{44573B96-802C-4887-A6DC-273B0374D358}"/>
  </dataValidations>
  <pageMargins left="0.23622047244094491" right="0.23622047244094491" top="0.74803149606299213" bottom="0.74803149606299213" header="0.31496062992125984" footer="0.31496062992125984"/>
  <pageSetup paperSize="9" scale="73" fitToHeight="0" orientation="landscape" r:id="rId1"/>
  <headerFooter>
    <oddHeader>&amp;L&amp;G</oddHeader>
    <oddFooter>&amp;C&amp;F</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1">
        <x14:dataValidation type="whole" allowBlank="1" showInputMessage="1" showErrorMessage="1" xr:uid="{890DC262-EAD6-4CCF-9B11-73BF7A0C76EF}">
          <x14:formula1>
            <xm:f>1</xm:f>
          </x14:formula1>
          <x14:formula2>
            <xm:f>IF('1.G.Data'!$G$1=Info!$B$5,(Info!$B$7+Info!$B$9),(Info!$C$7+Info!$C$9))</xm:f>
          </x14:formula2>
          <xm:sqref>F3:F12 F14:F22 F13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AD20-D599-45C6-B814-E092080FA271}">
  <dimension ref="A1:V240"/>
  <sheetViews>
    <sheetView zoomScale="70" zoomScaleNormal="70" workbookViewId="0">
      <selection activeCell="O6" sqref="O6"/>
    </sheetView>
  </sheetViews>
  <sheetFormatPr defaultColWidth="8.88671875" defaultRowHeight="15.05"/>
  <cols>
    <col min="2" max="2" width="15" customWidth="1"/>
    <col min="3" max="3" width="9.44140625" bestFit="1" customWidth="1"/>
    <col min="4" max="12" width="12.44140625" customWidth="1"/>
    <col min="13" max="13" width="10.44140625" customWidth="1"/>
    <col min="14" max="14" width="29.44140625" customWidth="1"/>
    <col min="15" max="15" width="20.44140625" customWidth="1"/>
    <col min="22" max="22" width="19.44140625" customWidth="1"/>
  </cols>
  <sheetData>
    <row r="1" spans="1:22">
      <c r="A1" s="774">
        <f>+'5.Equipments'!A3</f>
        <v>1</v>
      </c>
      <c r="B1" s="133">
        <f>IF('5.Equipments'!E3=0,0,'5.Equipments'!C3)</f>
        <v>0</v>
      </c>
      <c r="C1" s="134"/>
      <c r="D1" s="229">
        <v>3</v>
      </c>
      <c r="E1" s="229">
        <v>4</v>
      </c>
      <c r="F1" s="229">
        <v>5</v>
      </c>
      <c r="G1" s="229">
        <v>6</v>
      </c>
      <c r="H1" s="229">
        <v>7</v>
      </c>
      <c r="I1" s="229">
        <v>8</v>
      </c>
      <c r="J1" s="229">
        <v>9</v>
      </c>
      <c r="K1" s="229">
        <v>10</v>
      </c>
      <c r="L1" s="229">
        <v>11</v>
      </c>
      <c r="M1" s="229">
        <v>12</v>
      </c>
      <c r="N1" s="136" t="s">
        <v>299</v>
      </c>
      <c r="O1" s="228">
        <f>IFERROR(+O2/12,0)</f>
        <v>0</v>
      </c>
      <c r="U1" t="s">
        <v>300</v>
      </c>
      <c r="V1" t="s">
        <v>301</v>
      </c>
    </row>
    <row r="2" spans="1:22">
      <c r="A2" s="775"/>
      <c r="B2" s="138" t="s">
        <v>302</v>
      </c>
      <c r="C2" s="139" t="s">
        <v>303</v>
      </c>
      <c r="D2" s="139" t="s">
        <v>304</v>
      </c>
      <c r="E2" s="139" t="s">
        <v>305</v>
      </c>
      <c r="F2" s="139" t="s">
        <v>306</v>
      </c>
      <c r="G2" s="139" t="s">
        <v>307</v>
      </c>
      <c r="H2" s="139" t="s">
        <v>308</v>
      </c>
      <c r="I2" s="139" t="s">
        <v>309</v>
      </c>
      <c r="J2" s="139" t="s">
        <v>310</v>
      </c>
      <c r="K2" s="139" t="s">
        <v>311</v>
      </c>
      <c r="L2" s="139" t="s">
        <v>312</v>
      </c>
      <c r="M2" s="139" t="s">
        <v>313</v>
      </c>
      <c r="N2" s="140" t="s">
        <v>314</v>
      </c>
      <c r="O2" s="141">
        <f>IFERROR((VLOOKUP(A1,Tabela8[[No.]:[Institution**]],4,0)*12),0)</f>
        <v>0</v>
      </c>
      <c r="U2">
        <v>1</v>
      </c>
      <c r="V2">
        <f>+O6</f>
        <v>0</v>
      </c>
    </row>
    <row r="3" spans="1:22">
      <c r="A3" s="775"/>
      <c r="B3" s="138">
        <v>3</v>
      </c>
      <c r="C3" s="142">
        <v>0.5</v>
      </c>
      <c r="D3" s="143">
        <f>B1*C3</f>
        <v>0</v>
      </c>
      <c r="E3" s="143">
        <f>D3*C3</f>
        <v>0</v>
      </c>
      <c r="F3" s="143">
        <f>B1-D3-E3</f>
        <v>0</v>
      </c>
      <c r="G3" s="144"/>
      <c r="H3" s="144"/>
      <c r="I3" s="144"/>
      <c r="J3" s="144"/>
      <c r="K3" s="144"/>
      <c r="L3" s="144"/>
      <c r="M3" s="144"/>
      <c r="N3" s="145" t="s">
        <v>315</v>
      </c>
      <c r="O3" s="141">
        <f>+Info!B7</f>
        <v>36</v>
      </c>
      <c r="U3">
        <v>2</v>
      </c>
      <c r="V3">
        <f>+O18</f>
        <v>0</v>
      </c>
    </row>
    <row r="4" spans="1:22">
      <c r="A4" s="775"/>
      <c r="B4" s="138">
        <v>4</v>
      </c>
      <c r="C4" s="142">
        <v>0.375</v>
      </c>
      <c r="D4" s="143">
        <f>B1*$C$4</f>
        <v>0</v>
      </c>
      <c r="E4" s="143">
        <f>(B1-D4)*C4</f>
        <v>0</v>
      </c>
      <c r="F4" s="143">
        <f>(+B1-D4-E4)/2</f>
        <v>0</v>
      </c>
      <c r="G4" s="143">
        <f>+F4</f>
        <v>0</v>
      </c>
      <c r="H4" s="144"/>
      <c r="I4" s="144"/>
      <c r="J4" s="144"/>
      <c r="K4" s="144"/>
      <c r="L4" s="144"/>
      <c r="M4" s="144"/>
      <c r="N4" s="145" t="s">
        <v>316</v>
      </c>
      <c r="O4" s="141" t="str">
        <f>VLOOKUP(A1,Tabela8[[No.]:[Institution**]],5,0)</f>
        <v/>
      </c>
      <c r="U4">
        <v>3</v>
      </c>
      <c r="V4">
        <f>+O30</f>
        <v>0</v>
      </c>
    </row>
    <row r="5" spans="1:22">
      <c r="A5" s="775"/>
      <c r="B5" s="138">
        <v>5</v>
      </c>
      <c r="C5" s="142">
        <v>0.4</v>
      </c>
      <c r="D5" s="143">
        <f>B1*$C$5</f>
        <v>0</v>
      </c>
      <c r="E5" s="143">
        <f>(B1-D5)*C5</f>
        <v>0</v>
      </c>
      <c r="F5" s="143">
        <f>(B1-D5-E5)*C5</f>
        <v>0</v>
      </c>
      <c r="G5" s="143">
        <f>(+B1-D5-E5-F5)/2</f>
        <v>0</v>
      </c>
      <c r="H5" s="143">
        <f>B1-D5-E5-F5-G5</f>
        <v>0</v>
      </c>
      <c r="I5" s="144"/>
      <c r="J5" s="144"/>
      <c r="K5" s="144"/>
      <c r="L5" s="144"/>
      <c r="M5" s="144"/>
      <c r="N5" t="s">
        <v>317</v>
      </c>
      <c r="O5" s="141" t="str">
        <f>+'5.Equipments'!F3</f>
        <v/>
      </c>
      <c r="P5" s="772" t="s">
        <v>689</v>
      </c>
      <c r="Q5" s="773"/>
      <c r="R5" s="773"/>
      <c r="S5" s="773"/>
      <c r="T5" s="773"/>
      <c r="U5">
        <v>4</v>
      </c>
      <c r="V5">
        <f>+O42</f>
        <v>0</v>
      </c>
    </row>
    <row r="6" spans="1:22">
      <c r="A6" s="775"/>
      <c r="B6" s="138">
        <v>6</v>
      </c>
      <c r="C6" s="142">
        <v>0.33333333333333331</v>
      </c>
      <c r="D6" s="146">
        <f>B1*$C$6</f>
        <v>0</v>
      </c>
      <c r="E6" s="146">
        <f>(B1-D6)*C6</f>
        <v>0</v>
      </c>
      <c r="F6" s="146">
        <f>(B1-D6-E6)*C6</f>
        <v>0</v>
      </c>
      <c r="G6" s="146">
        <f>(B1-D6-E6-F6)*C6</f>
        <v>0</v>
      </c>
      <c r="H6" s="146">
        <f>(+B1-D6-E6-F6-G6)/2</f>
        <v>0</v>
      </c>
      <c r="I6" s="146">
        <f>B1-D6-E6-F6-G6-H6</f>
        <v>0</v>
      </c>
      <c r="J6" s="144"/>
      <c r="K6" s="144"/>
      <c r="L6" s="144"/>
      <c r="M6" s="144"/>
      <c r="N6" s="145" t="s">
        <v>318</v>
      </c>
      <c r="O6" s="147">
        <f>SUM(D12:M12)</f>
        <v>0</v>
      </c>
      <c r="P6" s="148" t="s">
        <v>319</v>
      </c>
      <c r="U6">
        <v>5</v>
      </c>
      <c r="V6">
        <f>O54</f>
        <v>0</v>
      </c>
    </row>
    <row r="7" spans="1:22">
      <c r="A7" s="775"/>
      <c r="B7" s="138">
        <v>7</v>
      </c>
      <c r="C7" s="142">
        <v>0.3571428571428571</v>
      </c>
      <c r="D7" s="143">
        <f>B1*$C$7</f>
        <v>0</v>
      </c>
      <c r="E7" s="143">
        <f>(B1-D7)*C7</f>
        <v>0</v>
      </c>
      <c r="F7" s="143">
        <f>(B1-D7-E7)*C7</f>
        <v>0</v>
      </c>
      <c r="G7" s="143">
        <f>(B1-D7-E7-F7)*C7</f>
        <v>0</v>
      </c>
      <c r="H7" s="143">
        <f>(B1-D7-E7-F7-G7)*C7</f>
        <v>0</v>
      </c>
      <c r="I7" s="143">
        <f>(+B1-D7-E7-F7-G7-H7)/2</f>
        <v>0</v>
      </c>
      <c r="J7" s="143">
        <f>B1-D7-E7-F7-G7-H7-I7</f>
        <v>0</v>
      </c>
      <c r="K7" s="144"/>
      <c r="L7" s="144"/>
      <c r="M7" s="144"/>
      <c r="N7" s="149" t="s">
        <v>320</v>
      </c>
      <c r="O7" s="150">
        <f>(B1-O6)*1.23</f>
        <v>0</v>
      </c>
      <c r="P7" s="148" t="s">
        <v>321</v>
      </c>
      <c r="U7">
        <v>6</v>
      </c>
      <c r="V7">
        <f>O66</f>
        <v>0</v>
      </c>
    </row>
    <row r="8" spans="1:22">
      <c r="A8" s="775"/>
      <c r="B8" s="138">
        <v>8</v>
      </c>
      <c r="C8" s="142">
        <v>0.3125</v>
      </c>
      <c r="D8" s="143">
        <f>B1*$C$8</f>
        <v>0</v>
      </c>
      <c r="E8" s="143">
        <f>(B1-D8)*C8</f>
        <v>0</v>
      </c>
      <c r="F8" s="143">
        <f>(B1-D8-E8)*C8</f>
        <v>0</v>
      </c>
      <c r="G8" s="143">
        <f>(B1-D8-E8-F8)*C8</f>
        <v>0</v>
      </c>
      <c r="H8" s="143">
        <f>(B1-D8-E8-F8-G8)*C8</f>
        <v>0</v>
      </c>
      <c r="I8" s="143">
        <f>+(B1-D8-E8-F8-G8-H8)/3</f>
        <v>0</v>
      </c>
      <c r="J8" s="143">
        <f>+I8</f>
        <v>0</v>
      </c>
      <c r="K8" s="143">
        <f>+J8</f>
        <v>0</v>
      </c>
      <c r="L8" s="144"/>
      <c r="M8" s="144"/>
      <c r="O8" s="141"/>
      <c r="U8">
        <v>7</v>
      </c>
      <c r="V8">
        <f>O78</f>
        <v>0</v>
      </c>
    </row>
    <row r="9" spans="1:22">
      <c r="A9" s="775"/>
      <c r="B9" s="151">
        <v>10</v>
      </c>
      <c r="C9" s="152">
        <v>0.25</v>
      </c>
      <c r="D9" s="153">
        <f>B1*$C$9</f>
        <v>0</v>
      </c>
      <c r="E9" s="153">
        <f>(B1-D9)*C9</f>
        <v>0</v>
      </c>
      <c r="F9" s="153">
        <f>(B1-D9-E9)*C9</f>
        <v>0</v>
      </c>
      <c r="G9" s="153">
        <f>(B1-D9-E9-F9)*C9</f>
        <v>0</v>
      </c>
      <c r="H9" s="153">
        <f>(B1-D9-E9-F9-G9)*C9</f>
        <v>0</v>
      </c>
      <c r="I9" s="153">
        <f>+(B1-D9-E9-F9-G9-H9)/5</f>
        <v>0</v>
      </c>
      <c r="J9" s="153">
        <f>+I9</f>
        <v>0</v>
      </c>
      <c r="K9" s="153">
        <f>+J9</f>
        <v>0</v>
      </c>
      <c r="L9" s="153">
        <f>+K9</f>
        <v>0</v>
      </c>
      <c r="M9" s="154">
        <f>+L9</f>
        <v>0</v>
      </c>
      <c r="O9" s="141"/>
    </row>
    <row r="10" spans="1:22">
      <c r="A10" s="775"/>
      <c r="B10" s="777" t="s">
        <v>322</v>
      </c>
      <c r="C10" s="778"/>
      <c r="D10" s="155">
        <f>IF(O1=0,0,IF(O1=1,(D3+E3+F3),VLOOKUP($O1,$B3:$M9,D$1,0)))</f>
        <v>0</v>
      </c>
      <c r="E10" s="155">
        <f>IF(O1=0,0,IF(O1=1,0,VLOOKUP($O1,$B3:$M9,E$1,0)))</f>
        <v>0</v>
      </c>
      <c r="F10" s="155">
        <f>IF(O1=0,0,IF(O1=1,0,VLOOKUP($O1,$B3:$M9,F$1,0)))</f>
        <v>0</v>
      </c>
      <c r="G10" s="155">
        <f>IF(O1=0,0,IF(O1=1,0,VLOOKUP($O1,$B3:$M9,G$1,0)))</f>
        <v>0</v>
      </c>
      <c r="H10" s="155">
        <f>IF(O1=0,0,IF(O1=1,0,VLOOKUP($O1,$B3:$M9,H$1,0)))</f>
        <v>0</v>
      </c>
      <c r="I10" s="155">
        <f>IF(O1=0,0,IF(O1=1,0,VLOOKUP($O1,$B3:$M9,I$1,0)))</f>
        <v>0</v>
      </c>
      <c r="J10" s="155">
        <f>IF(O1=0,0,IF(O1=1,0,VLOOKUP($O1,$B3:$M9,J$1,0)))</f>
        <v>0</v>
      </c>
      <c r="K10" s="155">
        <f>IF(O1=0,0,IF(O1=1,0,VLOOKUP($O1,$B3:$M9,K$1,0)))</f>
        <v>0</v>
      </c>
      <c r="L10" s="155">
        <f>IF(O1=0,0,IF(O1=1,0,VLOOKUP($O1,$B3:$M9,L$1,0)))</f>
        <v>0</v>
      </c>
      <c r="M10" s="155">
        <f>IF(O1=0,0,IF(O1=1,0,VLOOKUP($O1,$B3:$M9,M$1,0)))</f>
        <v>0</v>
      </c>
      <c r="O10" s="141"/>
      <c r="U10">
        <v>8</v>
      </c>
      <c r="V10">
        <f>O90</f>
        <v>0</v>
      </c>
    </row>
    <row r="11" spans="1:22">
      <c r="A11" s="775"/>
      <c r="B11" s="779" t="s">
        <v>323</v>
      </c>
      <c r="C11" s="780"/>
      <c r="D11" s="156">
        <f>IF(O1=0,0,IF(O5&gt;12,12,O5))</f>
        <v>0</v>
      </c>
      <c r="E11" s="156">
        <f>IF(O1=0,0,IF((O5-D11)&gt;12,12,(O5-D11)))</f>
        <v>0</v>
      </c>
      <c r="F11" s="156">
        <f>IF(O1=0,0,IF((O5-E11-D11)&gt;12,12,(O5-D11-E11)))</f>
        <v>0</v>
      </c>
      <c r="G11" s="156">
        <f>IF(O1=0,0,IF((O5-F11-E11-D11)&gt;12,12,(O5-E11-F11-D11)))</f>
        <v>0</v>
      </c>
      <c r="H11" s="156">
        <f>IF(O1=0,0,IF((O5-G11-F11-E11-D11)&gt;12,12,(O5-F11-G11-E11-D11)))</f>
        <v>0</v>
      </c>
      <c r="I11" s="156">
        <f>IF(O1=0,0,IF((O5-H11-G11-F11-E11-D11)&gt;12,12,(O5-G11-H11-F11-E11-D11)))</f>
        <v>0</v>
      </c>
      <c r="J11" s="156">
        <f>IF(O1=0,0,IF((O5-I11-H11-G11-F11-E11-D11)&gt;12,12,(O5-H11-I11-G11-F11-E11-D11)))</f>
        <v>0</v>
      </c>
      <c r="K11" s="156">
        <f>IF(O1=0,0,IF((O5-J11-I11-H11-G11-F11-E11-D11)&gt;12,12,(O5-I11-J11-H11-G11-F11-E11-D11)))</f>
        <v>0</v>
      </c>
      <c r="L11" s="156">
        <f>IF(O1=0,0,IF((O5-J11-I11-H11-G11-F11-E11-D11)&gt;12,12,(O5-I11-J11-H11-G11-F11-E11-D11-K11)))</f>
        <v>0</v>
      </c>
      <c r="M11" s="156">
        <f>IF(O1=0,0,IF((O5-J11-I11-H11-G11-F11-E11-D11)&gt;12,12,(O5-I11-J11-H11-G11-F11-E11-D11-K11-L11)))</f>
        <v>0</v>
      </c>
      <c r="O11" s="141"/>
      <c r="U11">
        <v>9</v>
      </c>
      <c r="V11">
        <f>O102</f>
        <v>0</v>
      </c>
    </row>
    <row r="12" spans="1:22" ht="15.75" thickBot="1">
      <c r="A12" s="776"/>
      <c r="B12" s="781" t="s">
        <v>324</v>
      </c>
      <c r="C12" s="782"/>
      <c r="D12" s="157">
        <f>+D10/12*D11</f>
        <v>0</v>
      </c>
      <c r="E12" s="157">
        <f t="shared" ref="E12:M12" si="0">+E10/12*E11</f>
        <v>0</v>
      </c>
      <c r="F12" s="157">
        <f t="shared" si="0"/>
        <v>0</v>
      </c>
      <c r="G12" s="157">
        <f t="shared" si="0"/>
        <v>0</v>
      </c>
      <c r="H12" s="157">
        <f t="shared" si="0"/>
        <v>0</v>
      </c>
      <c r="I12" s="157">
        <f t="shared" si="0"/>
        <v>0</v>
      </c>
      <c r="J12" s="157">
        <f t="shared" si="0"/>
        <v>0</v>
      </c>
      <c r="K12" s="157">
        <f t="shared" si="0"/>
        <v>0</v>
      </c>
      <c r="L12" s="157">
        <f t="shared" si="0"/>
        <v>0</v>
      </c>
      <c r="M12" s="157">
        <f t="shared" si="0"/>
        <v>0</v>
      </c>
      <c r="N12" s="158"/>
      <c r="O12" s="159"/>
      <c r="U12">
        <v>10</v>
      </c>
      <c r="V12">
        <f>O114</f>
        <v>0</v>
      </c>
    </row>
    <row r="13" spans="1:22">
      <c r="A13" s="774">
        <f>+'5.Equipments'!A4</f>
        <v>2</v>
      </c>
      <c r="B13" s="133">
        <f>IF('5.Equipments'!E4=0,0,'5.Equipments'!C4)</f>
        <v>0</v>
      </c>
      <c r="C13" s="134"/>
      <c r="D13" s="135">
        <v>3</v>
      </c>
      <c r="E13" s="135">
        <v>4</v>
      </c>
      <c r="F13" s="135">
        <v>5</v>
      </c>
      <c r="G13" s="135">
        <v>6</v>
      </c>
      <c r="H13" s="135">
        <v>7</v>
      </c>
      <c r="I13" s="135">
        <v>8</v>
      </c>
      <c r="J13" s="135">
        <v>9</v>
      </c>
      <c r="K13" s="135">
        <v>10</v>
      </c>
      <c r="L13" s="135">
        <v>11</v>
      </c>
      <c r="M13" s="135">
        <v>12</v>
      </c>
      <c r="N13" s="136" t="s">
        <v>299</v>
      </c>
      <c r="O13" s="137">
        <f>+O14/12</f>
        <v>0</v>
      </c>
      <c r="U13">
        <v>11</v>
      </c>
      <c r="V13">
        <f>O126</f>
        <v>0</v>
      </c>
    </row>
    <row r="14" spans="1:22">
      <c r="A14" s="775"/>
      <c r="B14" s="138" t="s">
        <v>302</v>
      </c>
      <c r="C14" s="139" t="s">
        <v>303</v>
      </c>
      <c r="D14" s="139" t="s">
        <v>304</v>
      </c>
      <c r="E14" s="139" t="s">
        <v>305</v>
      </c>
      <c r="F14" s="139" t="s">
        <v>306</v>
      </c>
      <c r="G14" s="139" t="s">
        <v>307</v>
      </c>
      <c r="H14" s="139" t="s">
        <v>308</v>
      </c>
      <c r="I14" s="139" t="s">
        <v>309</v>
      </c>
      <c r="J14" s="139" t="s">
        <v>310</v>
      </c>
      <c r="K14" s="139" t="s">
        <v>311</v>
      </c>
      <c r="L14" s="139" t="s">
        <v>312</v>
      </c>
      <c r="M14" s="139" t="s">
        <v>313</v>
      </c>
      <c r="N14" s="140" t="s">
        <v>314</v>
      </c>
      <c r="O14" s="141">
        <f>IFERROR(VLOOKUP(A13,Tabela8[[No.]:[Institution**]],4,0)*12,0)</f>
        <v>0</v>
      </c>
      <c r="U14">
        <v>12</v>
      </c>
      <c r="V14">
        <f>O138</f>
        <v>0</v>
      </c>
    </row>
    <row r="15" spans="1:22">
      <c r="A15" s="775"/>
      <c r="B15" s="138">
        <v>3</v>
      </c>
      <c r="C15" s="142">
        <v>0.5</v>
      </c>
      <c r="D15" s="143">
        <f>B13*C15</f>
        <v>0</v>
      </c>
      <c r="E15" s="143">
        <f>D15*C15</f>
        <v>0</v>
      </c>
      <c r="F15" s="143">
        <f>B13-D15-E15</f>
        <v>0</v>
      </c>
      <c r="G15" s="144"/>
      <c r="H15" s="144"/>
      <c r="I15" s="144"/>
      <c r="J15" s="144"/>
      <c r="K15" s="144"/>
      <c r="L15" s="144"/>
      <c r="M15" s="144"/>
      <c r="N15" s="145" t="s">
        <v>315</v>
      </c>
      <c r="O15" s="141">
        <f>+Info!B7</f>
        <v>36</v>
      </c>
      <c r="U15">
        <v>13</v>
      </c>
      <c r="V15">
        <f>O150</f>
        <v>0</v>
      </c>
    </row>
    <row r="16" spans="1:22">
      <c r="A16" s="775"/>
      <c r="B16" s="138">
        <v>4</v>
      </c>
      <c r="C16" s="142">
        <v>0.375</v>
      </c>
      <c r="D16" s="143">
        <f>B13*$C$4</f>
        <v>0</v>
      </c>
      <c r="E16" s="143">
        <f>(B13-D16)*C16</f>
        <v>0</v>
      </c>
      <c r="F16" s="143">
        <f>(+B13-D16-E16)/2</f>
        <v>0</v>
      </c>
      <c r="G16" s="143">
        <f>+F16</f>
        <v>0</v>
      </c>
      <c r="H16" s="144"/>
      <c r="I16" s="144"/>
      <c r="J16" s="144"/>
      <c r="K16" s="144"/>
      <c r="L16" s="144"/>
      <c r="M16" s="144"/>
      <c r="N16" s="145" t="s">
        <v>316</v>
      </c>
      <c r="O16" s="141" t="str">
        <f>VLOOKUP(A13,'5.Equipments'!$A$3:$E$22,5,0)</f>
        <v/>
      </c>
      <c r="U16">
        <v>14</v>
      </c>
      <c r="V16">
        <f>O162</f>
        <v>0</v>
      </c>
    </row>
    <row r="17" spans="1:22">
      <c r="A17" s="775"/>
      <c r="B17" s="138">
        <v>5</v>
      </c>
      <c r="C17" s="142">
        <v>0.4</v>
      </c>
      <c r="D17" s="143">
        <f>B13*$C$5</f>
        <v>0</v>
      </c>
      <c r="E17" s="143">
        <f>(B13-D17)*C17</f>
        <v>0</v>
      </c>
      <c r="F17" s="143">
        <f>(B13-D17-E17)*C17</f>
        <v>0</v>
      </c>
      <c r="G17" s="143">
        <f>(+B13-D17-E17-F17)/2</f>
        <v>0</v>
      </c>
      <c r="H17" s="143">
        <f>B13-D17-E17-F17-G17</f>
        <v>0</v>
      </c>
      <c r="I17" s="144"/>
      <c r="J17" s="144"/>
      <c r="K17" s="144"/>
      <c r="L17" s="144"/>
      <c r="M17" s="144"/>
      <c r="N17" t="s">
        <v>317</v>
      </c>
      <c r="O17" s="141" t="str">
        <f>+'5.Equipments'!F4</f>
        <v/>
      </c>
      <c r="U17">
        <v>15</v>
      </c>
      <c r="V17">
        <f>O174</f>
        <v>0</v>
      </c>
    </row>
    <row r="18" spans="1:22">
      <c r="A18" s="775"/>
      <c r="B18" s="138">
        <v>6</v>
      </c>
      <c r="C18" s="142">
        <v>0.33333333333333331</v>
      </c>
      <c r="D18" s="146">
        <f>B13*$C$6</f>
        <v>0</v>
      </c>
      <c r="E18" s="146">
        <f>(B13-D18)*C18</f>
        <v>0</v>
      </c>
      <c r="F18" s="146">
        <f>(B13-D18-E18)*C18</f>
        <v>0</v>
      </c>
      <c r="G18" s="146">
        <f>(B13-D18-E18-F18)*C18</f>
        <v>0</v>
      </c>
      <c r="H18" s="146">
        <f>(+B13-D18-E18-F18-G18)/2</f>
        <v>0</v>
      </c>
      <c r="I18" s="146">
        <f>B13-D18-E18-F18-G18-H18</f>
        <v>0</v>
      </c>
      <c r="J18" s="144"/>
      <c r="K18" s="144"/>
      <c r="L18" s="144"/>
      <c r="M18" s="144"/>
      <c r="N18" s="145" t="s">
        <v>318</v>
      </c>
      <c r="O18" s="147">
        <f>SUM(D24:M24)</f>
        <v>0</v>
      </c>
      <c r="U18">
        <v>16</v>
      </c>
      <c r="V18">
        <f>O186</f>
        <v>0</v>
      </c>
    </row>
    <row r="19" spans="1:22">
      <c r="A19" s="775"/>
      <c r="B19" s="138">
        <v>7</v>
      </c>
      <c r="C19" s="142">
        <v>0.3571428571428571</v>
      </c>
      <c r="D19" s="143">
        <f>B13*$C$7</f>
        <v>0</v>
      </c>
      <c r="E19" s="143">
        <f>(B13-D19)*C19</f>
        <v>0</v>
      </c>
      <c r="F19" s="143">
        <f>(B13-D19-E19)*C19</f>
        <v>0</v>
      </c>
      <c r="G19" s="143">
        <f>(B13-D19-E19-F19)*C19</f>
        <v>0</v>
      </c>
      <c r="H19" s="143">
        <f>(B13-D19-E19-F19-G19)*C19</f>
        <v>0</v>
      </c>
      <c r="I19" s="143">
        <f>(+B13-D19-E19-F19-G19-H19)/2</f>
        <v>0</v>
      </c>
      <c r="J19" s="143">
        <f>B13-D19-E19-F19-G19-H19-I19</f>
        <v>0</v>
      </c>
      <c r="K19" s="144"/>
      <c r="L19" s="144"/>
      <c r="M19" s="144"/>
      <c r="N19" s="149" t="s">
        <v>320</v>
      </c>
      <c r="O19" s="150">
        <f>(B13-O18)*1.23</f>
        <v>0</v>
      </c>
      <c r="P19" s="148" t="s">
        <v>321</v>
      </c>
      <c r="U19">
        <v>17</v>
      </c>
      <c r="V19">
        <f>O198</f>
        <v>0</v>
      </c>
    </row>
    <row r="20" spans="1:22">
      <c r="A20" s="775"/>
      <c r="B20" s="138">
        <v>8</v>
      </c>
      <c r="C20" s="142">
        <v>0.3125</v>
      </c>
      <c r="D20" s="143">
        <f>B13*$C$8</f>
        <v>0</v>
      </c>
      <c r="E20" s="143">
        <f>(B13-D20)*C20</f>
        <v>0</v>
      </c>
      <c r="F20" s="143">
        <f>(B13-D20-E20)*C20</f>
        <v>0</v>
      </c>
      <c r="G20" s="143">
        <f>(B13-D20-E20-F20)*C20</f>
        <v>0</v>
      </c>
      <c r="H20" s="143">
        <f>(B13-D20-E20-F20-G20)*C20</f>
        <v>0</v>
      </c>
      <c r="I20" s="143">
        <f>+(B13-D20-E20-F20-G20-H20)/3</f>
        <v>0</v>
      </c>
      <c r="J20" s="143">
        <f>+I20</f>
        <v>0</v>
      </c>
      <c r="K20" s="143">
        <f>+J20</f>
        <v>0</v>
      </c>
      <c r="L20" s="144"/>
      <c r="M20" s="144"/>
      <c r="O20" s="141"/>
      <c r="U20">
        <v>18</v>
      </c>
      <c r="V20">
        <f>O210</f>
        <v>0</v>
      </c>
    </row>
    <row r="21" spans="1:22">
      <c r="A21" s="775"/>
      <c r="B21" s="151">
        <v>10</v>
      </c>
      <c r="C21" s="152">
        <v>0.25</v>
      </c>
      <c r="D21" s="153">
        <f>B13*$C$9</f>
        <v>0</v>
      </c>
      <c r="E21" s="153">
        <f>(B13-D21)*C21</f>
        <v>0</v>
      </c>
      <c r="F21" s="153">
        <f>(B13-D21-E21)*C21</f>
        <v>0</v>
      </c>
      <c r="G21" s="153">
        <f>(B13-D21-E21-F21)*C21</f>
        <v>0</v>
      </c>
      <c r="H21" s="153">
        <f>(B13-D21-E21-F21-G21)*C21</f>
        <v>0</v>
      </c>
      <c r="I21" s="153">
        <f>+(B13-D21-E21-F21-G21-H21)/5</f>
        <v>0</v>
      </c>
      <c r="J21" s="153">
        <f>+I21</f>
        <v>0</v>
      </c>
      <c r="K21" s="153">
        <f>+J21</f>
        <v>0</v>
      </c>
      <c r="L21" s="153">
        <f>+K21</f>
        <v>0</v>
      </c>
      <c r="M21" s="154">
        <f>+L21</f>
        <v>0</v>
      </c>
      <c r="O21" s="141"/>
    </row>
    <row r="22" spans="1:22">
      <c r="A22" s="775"/>
      <c r="B22" s="777" t="s">
        <v>322</v>
      </c>
      <c r="C22" s="778"/>
      <c r="D22" s="155">
        <f>IF(O13=0,0,IF(O13=1,(D15+E15+F15),VLOOKUP($O13,$B15:$M21,D$1,0)))</f>
        <v>0</v>
      </c>
      <c r="E22" s="155">
        <f>IF(O13=0,0,IF(O13=1,0,VLOOKUP($O13,$B15:$M21,E$1,0)))</f>
        <v>0</v>
      </c>
      <c r="F22" s="155">
        <f>IF(O13=0,0,IF(O13=1,0,VLOOKUP($O13,$B15:$M21,F$1,0)))</f>
        <v>0</v>
      </c>
      <c r="G22" s="155">
        <f>IF(O13=0,0,IF(O13=1,0,VLOOKUP($O13,$B15:$M21,G$1,0)))</f>
        <v>0</v>
      </c>
      <c r="H22" s="155">
        <f>IF(O13=0,0,IF(O13=1,0,VLOOKUP($O13,$B15:$M21,H$1,0)))</f>
        <v>0</v>
      </c>
      <c r="I22" s="155">
        <f>IF(O13=0,0,IF(O13=1,0,VLOOKUP($O13,$B15:$M21,I$1,0)))</f>
        <v>0</v>
      </c>
      <c r="J22" s="155">
        <f>IF(O13=0,0,IF(O13=1,0,VLOOKUP($O13,$B15:$M21,J$1,0)))</f>
        <v>0</v>
      </c>
      <c r="K22" s="155">
        <f>IF(O13=0,0,IF(O13=1,0,VLOOKUP($O13,$B15:$M21,K$1,0)))</f>
        <v>0</v>
      </c>
      <c r="L22" s="155">
        <f>IF(O13=0,0,IF(O13=1,0,VLOOKUP($O13,$B15:$M21,L$1,0)))</f>
        <v>0</v>
      </c>
      <c r="M22" s="155">
        <f>IF(O13=0,0,IF(O13=1,0,VLOOKUP($O13,$B15:$M21,M$1,0)))</f>
        <v>0</v>
      </c>
      <c r="O22" s="141"/>
      <c r="U22">
        <v>19</v>
      </c>
      <c r="V22">
        <f>O222</f>
        <v>0</v>
      </c>
    </row>
    <row r="23" spans="1:22">
      <c r="A23" s="775"/>
      <c r="B23" s="779" t="s">
        <v>323</v>
      </c>
      <c r="C23" s="780"/>
      <c r="D23" s="156">
        <f>IF(O13=0,0,IF(O17&gt;12,12,O17))</f>
        <v>0</v>
      </c>
      <c r="E23" s="156">
        <f>IF(O13=0,0,IF((O17-D23)&gt;12,12,(O17-D23)))</f>
        <v>0</v>
      </c>
      <c r="F23" s="156">
        <f>IF(O13=0,0,IF((O17-E23-D23)&gt;12,12,(O17-D23-E23)))</f>
        <v>0</v>
      </c>
      <c r="G23" s="156">
        <f>IF(O13=0,0,IF((O17-F23-E23-D23)&gt;12,12,(O17-E23-F23-D23)))</f>
        <v>0</v>
      </c>
      <c r="H23" s="156">
        <f>IF(O13=0,0,IF((O17-G23-F23-E23-D23)&gt;12,12,(O17-F23-G23-E23-D23)))</f>
        <v>0</v>
      </c>
      <c r="I23" s="156">
        <f>IF(O13=0,0,IF((O17-H23-G23-F23-E23-D23)&gt;12,12,(O17-G23-H23-F23-E23-D23)))</f>
        <v>0</v>
      </c>
      <c r="J23" s="156">
        <f>IF(O13=0,0,IF((O17-I23-H23-G23-F23-E23-D23)&gt;12,12,(O17-H23-I23-G23-F23-E23-D23)))</f>
        <v>0</v>
      </c>
      <c r="K23" s="156">
        <f>IF(O13=0,0,IF((O17-J23-I23-H23-G23-F23-E23-D23)&gt;12,12,(O17-I23-J23-H23-G23-F23-E23-D23)))</f>
        <v>0</v>
      </c>
      <c r="L23" s="156">
        <f>IF(O13=0,0,IF((O17-J23-I23-H23-G23-F23-E23-D23)&gt;12,12,(O17-I23-J23-H23-G23-F23-E23-D23-K23)))</f>
        <v>0</v>
      </c>
      <c r="M23" s="156">
        <f>IF(O13=0,0,IF((O17-J23-I23-H23-G23-F23-E23-D23)&gt;12,12,(O17-I23-J23-H23-G23-F23-E23-D23-K23-L23)))</f>
        <v>0</v>
      </c>
      <c r="O23" s="141"/>
      <c r="U23">
        <v>20</v>
      </c>
      <c r="V23">
        <f>O234</f>
        <v>0</v>
      </c>
    </row>
    <row r="24" spans="1:22" ht="15.75" thickBot="1">
      <c r="A24" s="776"/>
      <c r="B24" s="781" t="s">
        <v>324</v>
      </c>
      <c r="C24" s="782"/>
      <c r="D24" s="157">
        <f>+D22/12*D23</f>
        <v>0</v>
      </c>
      <c r="E24" s="157">
        <f t="shared" ref="E24:M24" si="1">+E22/12*E23</f>
        <v>0</v>
      </c>
      <c r="F24" s="157">
        <f t="shared" si="1"/>
        <v>0</v>
      </c>
      <c r="G24" s="157">
        <f t="shared" si="1"/>
        <v>0</v>
      </c>
      <c r="H24" s="157">
        <f t="shared" si="1"/>
        <v>0</v>
      </c>
      <c r="I24" s="157">
        <f t="shared" si="1"/>
        <v>0</v>
      </c>
      <c r="J24" s="157">
        <f t="shared" si="1"/>
        <v>0</v>
      </c>
      <c r="K24" s="157">
        <f t="shared" si="1"/>
        <v>0</v>
      </c>
      <c r="L24" s="157">
        <f t="shared" si="1"/>
        <v>0</v>
      </c>
      <c r="M24" s="157">
        <f t="shared" si="1"/>
        <v>0</v>
      </c>
      <c r="N24" s="158"/>
      <c r="O24" s="159"/>
    </row>
    <row r="25" spans="1:22">
      <c r="A25" s="774">
        <f>+'5.Equipments'!A5</f>
        <v>3</v>
      </c>
      <c r="B25" s="133">
        <f>IF('5.Equipments'!E5=0,0,'5.Equipments'!C5)</f>
        <v>0</v>
      </c>
      <c r="C25" s="134"/>
      <c r="D25" s="135">
        <v>3</v>
      </c>
      <c r="E25" s="135">
        <v>4</v>
      </c>
      <c r="F25" s="135">
        <v>5</v>
      </c>
      <c r="G25" s="135">
        <v>6</v>
      </c>
      <c r="H25" s="135">
        <v>7</v>
      </c>
      <c r="I25" s="135">
        <v>8</v>
      </c>
      <c r="J25" s="135">
        <v>9</v>
      </c>
      <c r="K25" s="135">
        <v>10</v>
      </c>
      <c r="L25" s="135">
        <v>11</v>
      </c>
      <c r="M25" s="135">
        <v>12</v>
      </c>
      <c r="N25" s="136" t="s">
        <v>299</v>
      </c>
      <c r="O25" s="137">
        <f>+O26/12</f>
        <v>0</v>
      </c>
    </row>
    <row r="26" spans="1:22">
      <c r="A26" s="775"/>
      <c r="B26" s="138" t="s">
        <v>302</v>
      </c>
      <c r="C26" s="139" t="s">
        <v>303</v>
      </c>
      <c r="D26" s="139" t="s">
        <v>304</v>
      </c>
      <c r="E26" s="139" t="s">
        <v>305</v>
      </c>
      <c r="F26" s="139" t="s">
        <v>306</v>
      </c>
      <c r="G26" s="139" t="s">
        <v>307</v>
      </c>
      <c r="H26" s="139" t="s">
        <v>308</v>
      </c>
      <c r="I26" s="139" t="s">
        <v>309</v>
      </c>
      <c r="J26" s="139" t="s">
        <v>310</v>
      </c>
      <c r="K26" s="139" t="s">
        <v>311</v>
      </c>
      <c r="L26" s="139" t="s">
        <v>312</v>
      </c>
      <c r="M26" s="139" t="s">
        <v>313</v>
      </c>
      <c r="N26" s="140" t="s">
        <v>314</v>
      </c>
      <c r="O26" s="141">
        <f>IFERROR(VLOOKUP(A25,Tabela8[[No.]:[Institution**]],4,0)*12,0)</f>
        <v>0</v>
      </c>
    </row>
    <row r="27" spans="1:22">
      <c r="A27" s="775"/>
      <c r="B27" s="138">
        <v>3</v>
      </c>
      <c r="C27" s="142">
        <v>0.5</v>
      </c>
      <c r="D27" s="143">
        <f>B25*C27</f>
        <v>0</v>
      </c>
      <c r="E27" s="143">
        <f>D27*C27</f>
        <v>0</v>
      </c>
      <c r="F27" s="143">
        <f>B25-D27-E27</f>
        <v>0</v>
      </c>
      <c r="G27" s="144"/>
      <c r="H27" s="144"/>
      <c r="I27" s="144"/>
      <c r="J27" s="144"/>
      <c r="K27" s="144"/>
      <c r="L27" s="144"/>
      <c r="M27" s="144"/>
      <c r="N27" s="145" t="s">
        <v>315</v>
      </c>
      <c r="O27" s="141">
        <f>+Info!B7</f>
        <v>36</v>
      </c>
    </row>
    <row r="28" spans="1:22">
      <c r="A28" s="775"/>
      <c r="B28" s="138">
        <v>4</v>
      </c>
      <c r="C28" s="142">
        <v>0.375</v>
      </c>
      <c r="D28" s="143">
        <f>B25*$C$4</f>
        <v>0</v>
      </c>
      <c r="E28" s="143">
        <f>(B25-D28)*C28</f>
        <v>0</v>
      </c>
      <c r="F28" s="143">
        <f>(+B25-D28-E28)/2</f>
        <v>0</v>
      </c>
      <c r="G28" s="143">
        <f>+F28</f>
        <v>0</v>
      </c>
      <c r="H28" s="144"/>
      <c r="I28" s="144"/>
      <c r="J28" s="144"/>
      <c r="K28" s="144"/>
      <c r="L28" s="144"/>
      <c r="M28" s="144"/>
      <c r="N28" s="145" t="s">
        <v>316</v>
      </c>
      <c r="O28" s="141" t="str">
        <f>VLOOKUP(A25,'5.Equipments'!$A$3:$E$22,5,0)</f>
        <v/>
      </c>
    </row>
    <row r="29" spans="1:22">
      <c r="A29" s="775"/>
      <c r="B29" s="138">
        <v>5</v>
      </c>
      <c r="C29" s="142">
        <v>0.4</v>
      </c>
      <c r="D29" s="143">
        <f>B25*$C$5</f>
        <v>0</v>
      </c>
      <c r="E29" s="143">
        <f>(B25-D29)*C29</f>
        <v>0</v>
      </c>
      <c r="F29" s="143">
        <f>(B25-D29-E29)*C29</f>
        <v>0</v>
      </c>
      <c r="G29" s="143">
        <f>(+B25-D29-E29-F29)/2</f>
        <v>0</v>
      </c>
      <c r="H29" s="143">
        <f>B25-D29-E29-F29-G29</f>
        <v>0</v>
      </c>
      <c r="I29" s="144"/>
      <c r="J29" s="144"/>
      <c r="K29" s="144"/>
      <c r="L29" s="144"/>
      <c r="M29" s="144"/>
      <c r="N29" t="s">
        <v>317</v>
      </c>
      <c r="O29" s="141" t="str">
        <f>+'5.Equipments'!F5</f>
        <v/>
      </c>
    </row>
    <row r="30" spans="1:22">
      <c r="A30" s="775"/>
      <c r="B30" s="138">
        <v>6</v>
      </c>
      <c r="C30" s="142">
        <v>0.33333333333333331</v>
      </c>
      <c r="D30" s="146">
        <f>B25*$C$6</f>
        <v>0</v>
      </c>
      <c r="E30" s="146">
        <f>(B25-D30)*C30</f>
        <v>0</v>
      </c>
      <c r="F30" s="146">
        <f>(B25-D30-E30)*C30</f>
        <v>0</v>
      </c>
      <c r="G30" s="146">
        <f>(B25-D30-E30-F30)*C30</f>
        <v>0</v>
      </c>
      <c r="H30" s="146">
        <f>(+B25-D30-E30-F30-G30)/2</f>
        <v>0</v>
      </c>
      <c r="I30" s="146">
        <f>B25-D30-E30-F30-G30-H30</f>
        <v>0</v>
      </c>
      <c r="J30" s="144"/>
      <c r="K30" s="144"/>
      <c r="L30" s="144"/>
      <c r="M30" s="144"/>
      <c r="N30" s="145" t="s">
        <v>318</v>
      </c>
      <c r="O30" s="147">
        <f>SUM(D36:M36)</f>
        <v>0</v>
      </c>
    </row>
    <row r="31" spans="1:22">
      <c r="A31" s="775"/>
      <c r="B31" s="138">
        <v>7</v>
      </c>
      <c r="C31" s="142">
        <v>0.3571428571428571</v>
      </c>
      <c r="D31" s="143">
        <f>B25*$C$7</f>
        <v>0</v>
      </c>
      <c r="E31" s="143">
        <f>(B25-D31)*C31</f>
        <v>0</v>
      </c>
      <c r="F31" s="143">
        <f>(B25-D31-E31)*C31</f>
        <v>0</v>
      </c>
      <c r="G31" s="143">
        <f>(B25-D31-E31-F31)*C31</f>
        <v>0</v>
      </c>
      <c r="H31" s="143">
        <f>(B25-D31-E31-F31-G31)*C31</f>
        <v>0</v>
      </c>
      <c r="I31" s="143">
        <f>(+B25-D31-E31-F31-G31-H31)/2</f>
        <v>0</v>
      </c>
      <c r="J31" s="143">
        <f>B25-D31-E31-F31-G31-H31-I31</f>
        <v>0</v>
      </c>
      <c r="K31" s="144"/>
      <c r="L31" s="144"/>
      <c r="M31" s="144"/>
      <c r="N31" s="149" t="s">
        <v>320</v>
      </c>
      <c r="O31" s="150">
        <f>(B25-O30)*1.23</f>
        <v>0</v>
      </c>
      <c r="P31" s="148" t="s">
        <v>321</v>
      </c>
    </row>
    <row r="32" spans="1:22">
      <c r="A32" s="775"/>
      <c r="B32" s="138">
        <v>8</v>
      </c>
      <c r="C32" s="142">
        <v>0.3125</v>
      </c>
      <c r="D32" s="143">
        <f>B25*$C$8</f>
        <v>0</v>
      </c>
      <c r="E32" s="143">
        <f>(B25-D32)*C32</f>
        <v>0</v>
      </c>
      <c r="F32" s="143">
        <f>(B25-D32-E32)*C32</f>
        <v>0</v>
      </c>
      <c r="G32" s="143">
        <f>(B25-D32-E32-F32)*C32</f>
        <v>0</v>
      </c>
      <c r="H32" s="143">
        <f>(B25-D32-E32-F32-G32)*C32</f>
        <v>0</v>
      </c>
      <c r="I32" s="143">
        <f>+(B25-D32-E32-F32-G32-H32)/3</f>
        <v>0</v>
      </c>
      <c r="J32" s="143">
        <f>+I32</f>
        <v>0</v>
      </c>
      <c r="K32" s="143">
        <f>+J32</f>
        <v>0</v>
      </c>
      <c r="L32" s="144"/>
      <c r="M32" s="144"/>
      <c r="O32" s="141"/>
    </row>
    <row r="33" spans="1:16">
      <c r="A33" s="775"/>
      <c r="B33" s="151">
        <v>10</v>
      </c>
      <c r="C33" s="152">
        <v>0.25</v>
      </c>
      <c r="D33" s="153">
        <f>B25*$C$9</f>
        <v>0</v>
      </c>
      <c r="E33" s="153">
        <f>(B25-D33)*C33</f>
        <v>0</v>
      </c>
      <c r="F33" s="153">
        <f>(B25-D33-E33)*C33</f>
        <v>0</v>
      </c>
      <c r="G33" s="153">
        <f>(B25-D33-E33-F33)*C33</f>
        <v>0</v>
      </c>
      <c r="H33" s="153">
        <f>(B25-D33-E33-F33-G33)*C33</f>
        <v>0</v>
      </c>
      <c r="I33" s="153">
        <f>+(B25-D33-E33-F33-G33-H33)/5</f>
        <v>0</v>
      </c>
      <c r="J33" s="153">
        <f>+I33</f>
        <v>0</v>
      </c>
      <c r="K33" s="153">
        <f>+J33</f>
        <v>0</v>
      </c>
      <c r="L33" s="153">
        <f>+K33</f>
        <v>0</v>
      </c>
      <c r="M33" s="154">
        <f>+L33</f>
        <v>0</v>
      </c>
      <c r="O33" s="141"/>
    </row>
    <row r="34" spans="1:16">
      <c r="A34" s="775"/>
      <c r="B34" s="777" t="s">
        <v>322</v>
      </c>
      <c r="C34" s="778"/>
      <c r="D34" s="155">
        <f>IF(O25=0,0,IF(O25=1,(D27+E27+F27),VLOOKUP($O25,$B27:$M33,D$1,0)))</f>
        <v>0</v>
      </c>
      <c r="E34" s="155">
        <f>IF(O25=0,0,IF(O25=1,0,VLOOKUP($O25,$B27:$M33,E$1,0)))</f>
        <v>0</v>
      </c>
      <c r="F34" s="155">
        <f>IF(O25=0,0,IF(O25=1,0,VLOOKUP($O25,$B27:$M33,F$1,0)))</f>
        <v>0</v>
      </c>
      <c r="G34" s="155">
        <f>IF(O25=0,0,IF(O25=1,0,VLOOKUP($O25,$B27:$M33,G$1,0)))</f>
        <v>0</v>
      </c>
      <c r="H34" s="155">
        <f>IF(O25=0,0,IF(O25=1,0,VLOOKUP($O25,$B27:$M33,H$1,0)))</f>
        <v>0</v>
      </c>
      <c r="I34" s="155">
        <f>IF(O25=0,0,IF(O25=1,0,VLOOKUP($O25,$B27:$M33,I$1,0)))</f>
        <v>0</v>
      </c>
      <c r="J34" s="155">
        <f>IF(O25=0,0,IF(O25=1,0,VLOOKUP($O25,$B27:$M33,J$1,0)))</f>
        <v>0</v>
      </c>
      <c r="K34" s="155">
        <f>IF(O25=0,0,IF(O25=1,0,VLOOKUP($O25,$B27:$M33,K$1,0)))</f>
        <v>0</v>
      </c>
      <c r="L34" s="155">
        <f>IF(O25=0,0,IF(O25=1,0,VLOOKUP($O25,$B27:$M33,L$1,0)))</f>
        <v>0</v>
      </c>
      <c r="M34" s="155">
        <f>IF(O25=0,0,IF(O25=1,0,VLOOKUP($O25,$B27:$M33,M$1,0)))</f>
        <v>0</v>
      </c>
      <c r="O34" s="141"/>
    </row>
    <row r="35" spans="1:16">
      <c r="A35" s="775"/>
      <c r="B35" s="779" t="s">
        <v>323</v>
      </c>
      <c r="C35" s="780"/>
      <c r="D35" s="156">
        <f>IF(O25=0,0,IF(O29&gt;12,12,O29))</f>
        <v>0</v>
      </c>
      <c r="E35" s="156">
        <f>IF(O25=0,0,IF((O29-D35)&gt;12,12,(O29-D35)))</f>
        <v>0</v>
      </c>
      <c r="F35" s="156">
        <f>IF(O25=0,0,IF((O29-E35-D35)&gt;12,12,(O29-D35-E35)))</f>
        <v>0</v>
      </c>
      <c r="G35" s="156">
        <f>IF(O25=0,0,IF((O29-F35-E35-D35)&gt;12,12,(O29-E35-F35-D35)))</f>
        <v>0</v>
      </c>
      <c r="H35" s="156">
        <f>IF(O25=0,0,IF((O29-G35-F35-E35-D35)&gt;12,12,(O29-F35-G35-E35-D35)))</f>
        <v>0</v>
      </c>
      <c r="I35" s="156">
        <f>IF(O25=0,0,IF((O29-H35-G35-F35-E35-D35)&gt;12,12,(O29-G35-H35-F35-E35-D35)))</f>
        <v>0</v>
      </c>
      <c r="J35" s="156">
        <f>IF(O25=0,0,IF((O29-I35-H35-G35-F35-E35-D35)&gt;12,12,(O29-H35-I35-G35-F35-E35-D35)))</f>
        <v>0</v>
      </c>
      <c r="K35" s="156">
        <f>IF(O25=0,0,IF((O29-J35-I35-H35-G35-F35-E35-D35)&gt;12,12,(O29-I35-J35-H35-G35-F35-E35-D35)))</f>
        <v>0</v>
      </c>
      <c r="L35" s="156">
        <f>IF(O25=0,0,IF((O29-J35-I35-H35-G35-F35-E35-D35)&gt;12,12,(O29-I35-J35-H35-G35-F35-E35-D35-K35)))</f>
        <v>0</v>
      </c>
      <c r="M35" s="156">
        <f>IF(O25=0,0,IF((O29-J35-I35-H35-G35-F35-E35-D35)&gt;12,12,(O29-I35-J35-H35-G35-F35-E35-D35-K35-L35)))</f>
        <v>0</v>
      </c>
      <c r="O35" s="141"/>
    </row>
    <row r="36" spans="1:16" ht="15.75" thickBot="1">
      <c r="A36" s="776"/>
      <c r="B36" s="781" t="s">
        <v>324</v>
      </c>
      <c r="C36" s="782"/>
      <c r="D36" s="157">
        <f>+D34/12*D35</f>
        <v>0</v>
      </c>
      <c r="E36" s="157">
        <f t="shared" ref="E36:M36" si="2">+E34/12*E35</f>
        <v>0</v>
      </c>
      <c r="F36" s="157">
        <f t="shared" si="2"/>
        <v>0</v>
      </c>
      <c r="G36" s="157">
        <f t="shared" si="2"/>
        <v>0</v>
      </c>
      <c r="H36" s="157">
        <f t="shared" si="2"/>
        <v>0</v>
      </c>
      <c r="I36" s="157">
        <f t="shared" si="2"/>
        <v>0</v>
      </c>
      <c r="J36" s="157">
        <f t="shared" si="2"/>
        <v>0</v>
      </c>
      <c r="K36" s="157">
        <f t="shared" si="2"/>
        <v>0</v>
      </c>
      <c r="L36" s="157">
        <f t="shared" si="2"/>
        <v>0</v>
      </c>
      <c r="M36" s="157">
        <f t="shared" si="2"/>
        <v>0</v>
      </c>
      <c r="N36" s="158"/>
      <c r="O36" s="159"/>
    </row>
    <row r="37" spans="1:16">
      <c r="A37" s="774">
        <f>+'5.Equipments'!A6</f>
        <v>4</v>
      </c>
      <c r="B37" s="133">
        <f>IF('5.Equipments'!E6=0,0,'5.Equipments'!C6)</f>
        <v>0</v>
      </c>
      <c r="C37" s="134"/>
      <c r="D37" s="135">
        <v>3</v>
      </c>
      <c r="E37" s="135">
        <v>4</v>
      </c>
      <c r="F37" s="135">
        <v>5</v>
      </c>
      <c r="G37" s="135">
        <v>6</v>
      </c>
      <c r="H37" s="135">
        <v>7</v>
      </c>
      <c r="I37" s="135">
        <v>8</v>
      </c>
      <c r="J37" s="135">
        <v>9</v>
      </c>
      <c r="K37" s="135">
        <v>10</v>
      </c>
      <c r="L37" s="135">
        <v>11</v>
      </c>
      <c r="M37" s="135">
        <v>12</v>
      </c>
      <c r="N37" s="136" t="s">
        <v>299</v>
      </c>
      <c r="O37" s="137">
        <f>+O38/12</f>
        <v>0</v>
      </c>
    </row>
    <row r="38" spans="1:16">
      <c r="A38" s="775"/>
      <c r="B38" s="138" t="s">
        <v>302</v>
      </c>
      <c r="C38" s="139" t="s">
        <v>303</v>
      </c>
      <c r="D38" s="139" t="s">
        <v>304</v>
      </c>
      <c r="E38" s="139" t="s">
        <v>305</v>
      </c>
      <c r="F38" s="139" t="s">
        <v>306</v>
      </c>
      <c r="G38" s="139" t="s">
        <v>307</v>
      </c>
      <c r="H38" s="139" t="s">
        <v>308</v>
      </c>
      <c r="I38" s="139" t="s">
        <v>309</v>
      </c>
      <c r="J38" s="139" t="s">
        <v>310</v>
      </c>
      <c r="K38" s="139" t="s">
        <v>311</v>
      </c>
      <c r="L38" s="139" t="s">
        <v>312</v>
      </c>
      <c r="M38" s="139" t="s">
        <v>313</v>
      </c>
      <c r="N38" s="140" t="s">
        <v>314</v>
      </c>
      <c r="O38" s="141">
        <f>IFERROR(VLOOKUP(A37,Tabela8[[No.]:[Institution**]],4,0)*12,0)</f>
        <v>0</v>
      </c>
    </row>
    <row r="39" spans="1:16">
      <c r="A39" s="775"/>
      <c r="B39" s="138">
        <v>3</v>
      </c>
      <c r="C39" s="142">
        <v>0.5</v>
      </c>
      <c r="D39" s="143">
        <f>B37*C39</f>
        <v>0</v>
      </c>
      <c r="E39" s="143">
        <f>D39*C39</f>
        <v>0</v>
      </c>
      <c r="F39" s="143">
        <f>B37-D39-E39</f>
        <v>0</v>
      </c>
      <c r="G39" s="144"/>
      <c r="H39" s="144"/>
      <c r="I39" s="144"/>
      <c r="J39" s="144"/>
      <c r="K39" s="144"/>
      <c r="L39" s="144"/>
      <c r="M39" s="144"/>
      <c r="N39" s="145" t="s">
        <v>315</v>
      </c>
      <c r="O39" s="141">
        <f>+Info!B7</f>
        <v>36</v>
      </c>
    </row>
    <row r="40" spans="1:16">
      <c r="A40" s="775"/>
      <c r="B40" s="138">
        <v>4</v>
      </c>
      <c r="C40" s="142">
        <v>0.375</v>
      </c>
      <c r="D40" s="143">
        <f>B37*$C$4</f>
        <v>0</v>
      </c>
      <c r="E40" s="143">
        <f>(B37-D40)*C40</f>
        <v>0</v>
      </c>
      <c r="F40" s="143">
        <f>(+B37-D40-E40)/2</f>
        <v>0</v>
      </c>
      <c r="G40" s="143">
        <f>+F40</f>
        <v>0</v>
      </c>
      <c r="H40" s="144"/>
      <c r="I40" s="144"/>
      <c r="J40" s="144"/>
      <c r="K40" s="144"/>
      <c r="L40" s="144"/>
      <c r="M40" s="144"/>
      <c r="N40" s="145" t="s">
        <v>316</v>
      </c>
      <c r="O40" s="141" t="str">
        <f>VLOOKUP(A37,'5.Equipments'!$A$3:$E$22,5,0)</f>
        <v/>
      </c>
    </row>
    <row r="41" spans="1:16">
      <c r="A41" s="775"/>
      <c r="B41" s="138">
        <v>5</v>
      </c>
      <c r="C41" s="142">
        <v>0.4</v>
      </c>
      <c r="D41" s="143">
        <f>B37*$C$5</f>
        <v>0</v>
      </c>
      <c r="E41" s="143">
        <f>(B37-D41)*C41</f>
        <v>0</v>
      </c>
      <c r="F41" s="143">
        <f>(B37-D41-E41)*C41</f>
        <v>0</v>
      </c>
      <c r="G41" s="143">
        <f>(+B37-D41-E41-F41)/2</f>
        <v>0</v>
      </c>
      <c r="H41" s="143">
        <f>B37-D41-E41-F41-G41</f>
        <v>0</v>
      </c>
      <c r="I41" s="144"/>
      <c r="J41" s="144"/>
      <c r="K41" s="144"/>
      <c r="L41" s="144"/>
      <c r="M41" s="144"/>
      <c r="N41" t="s">
        <v>317</v>
      </c>
      <c r="O41" s="141" t="str">
        <f>+'5.Equipments'!F6</f>
        <v/>
      </c>
    </row>
    <row r="42" spans="1:16">
      <c r="A42" s="775"/>
      <c r="B42" s="138">
        <v>6</v>
      </c>
      <c r="C42" s="142">
        <v>0.33333333333333331</v>
      </c>
      <c r="D42" s="146">
        <f>B37*$C$6</f>
        <v>0</v>
      </c>
      <c r="E42" s="146">
        <f>(B37-D42)*C42</f>
        <v>0</v>
      </c>
      <c r="F42" s="146">
        <f>(B37-D42-E42)*C42</f>
        <v>0</v>
      </c>
      <c r="G42" s="146">
        <f>(B37-D42-E42-F42)*C42</f>
        <v>0</v>
      </c>
      <c r="H42" s="146">
        <f>(+B37-D42-E42-F42-G42)/2</f>
        <v>0</v>
      </c>
      <c r="I42" s="146">
        <f>B37-D42-E42-F42-G42-H42</f>
        <v>0</v>
      </c>
      <c r="J42" s="144"/>
      <c r="K42" s="144"/>
      <c r="L42" s="144"/>
      <c r="M42" s="144"/>
      <c r="N42" s="145" t="s">
        <v>318</v>
      </c>
      <c r="O42" s="147">
        <f>SUM(D48:M48)</f>
        <v>0</v>
      </c>
    </row>
    <row r="43" spans="1:16">
      <c r="A43" s="775"/>
      <c r="B43" s="138">
        <v>7</v>
      </c>
      <c r="C43" s="142">
        <v>0.3571428571428571</v>
      </c>
      <c r="D43" s="143">
        <f>B37*$C$7</f>
        <v>0</v>
      </c>
      <c r="E43" s="143">
        <f>(B37-D43)*C43</f>
        <v>0</v>
      </c>
      <c r="F43" s="143">
        <f>(B37-D43-E43)*C43</f>
        <v>0</v>
      </c>
      <c r="G43" s="143">
        <f>(B37-D43-E43-F43)*C43</f>
        <v>0</v>
      </c>
      <c r="H43" s="143">
        <f>(B37-D43-E43-F43-G43)*C43</f>
        <v>0</v>
      </c>
      <c r="I43" s="143">
        <f>(+B37-D43-E43-F43-G43-H43)/2</f>
        <v>0</v>
      </c>
      <c r="J43" s="143">
        <f>B37-D43-E43-F43-G43-H43-I43</f>
        <v>0</v>
      </c>
      <c r="K43" s="144"/>
      <c r="L43" s="144"/>
      <c r="M43" s="144"/>
      <c r="N43" s="149" t="s">
        <v>320</v>
      </c>
      <c r="O43" s="150">
        <f>(B37-O42)*1.23</f>
        <v>0</v>
      </c>
      <c r="P43" s="148" t="s">
        <v>321</v>
      </c>
    </row>
    <row r="44" spans="1:16">
      <c r="A44" s="775"/>
      <c r="B44" s="138">
        <v>8</v>
      </c>
      <c r="C44" s="142">
        <v>0.3125</v>
      </c>
      <c r="D44" s="143">
        <f>B37*$C$8</f>
        <v>0</v>
      </c>
      <c r="E44" s="143">
        <f>(B37-D44)*C44</f>
        <v>0</v>
      </c>
      <c r="F44" s="143">
        <f>(B37-D44-E44)*C44</f>
        <v>0</v>
      </c>
      <c r="G44" s="143">
        <f>(B37-D44-E44-F44)*C44</f>
        <v>0</v>
      </c>
      <c r="H44" s="143">
        <f>(B37-D44-E44-F44-G44)*C44</f>
        <v>0</v>
      </c>
      <c r="I44" s="143">
        <f>+(B37-D44-E44-F44-G44-H44)/3</f>
        <v>0</v>
      </c>
      <c r="J44" s="143">
        <f>+I44</f>
        <v>0</v>
      </c>
      <c r="K44" s="143">
        <f>+J44</f>
        <v>0</v>
      </c>
      <c r="L44" s="144"/>
      <c r="M44" s="144"/>
      <c r="O44" s="141"/>
    </row>
    <row r="45" spans="1:16">
      <c r="A45" s="775"/>
      <c r="B45" s="151">
        <v>10</v>
      </c>
      <c r="C45" s="152">
        <v>0.25</v>
      </c>
      <c r="D45" s="153">
        <f>B37*$C$9</f>
        <v>0</v>
      </c>
      <c r="E45" s="153">
        <f>(B37-D45)*C45</f>
        <v>0</v>
      </c>
      <c r="F45" s="153">
        <f>(B37-D45-E45)*C45</f>
        <v>0</v>
      </c>
      <c r="G45" s="153">
        <f>(B37-D45-E45-F45)*C45</f>
        <v>0</v>
      </c>
      <c r="H45" s="153">
        <f>(B37-D45-E45-F45-G45)*C45</f>
        <v>0</v>
      </c>
      <c r="I45" s="153">
        <f>+(B37-D45-E45-F45-G45-H45)/5</f>
        <v>0</v>
      </c>
      <c r="J45" s="153">
        <f>+I45</f>
        <v>0</v>
      </c>
      <c r="K45" s="153">
        <f>+J45</f>
        <v>0</v>
      </c>
      <c r="L45" s="153">
        <f>+K45</f>
        <v>0</v>
      </c>
      <c r="M45" s="154">
        <f>+L45</f>
        <v>0</v>
      </c>
      <c r="O45" s="141"/>
    </row>
    <row r="46" spans="1:16">
      <c r="A46" s="775"/>
      <c r="B46" s="777" t="s">
        <v>322</v>
      </c>
      <c r="C46" s="778"/>
      <c r="D46" s="155">
        <f>IF(O37=0,0,IF(O37=1,(D39+E39+F39),VLOOKUP($O37,$B39:$M45,D$1,0)))</f>
        <v>0</v>
      </c>
      <c r="E46" s="155">
        <f>IF(O37=0,0,IF(O37=1,0,VLOOKUP($O37,$B39:$M45,E$1,0)))</f>
        <v>0</v>
      </c>
      <c r="F46" s="155">
        <f>IF(O37=0,0,IF(O37=1,0,VLOOKUP($O37,$B39:$M45,F$1,0)))</f>
        <v>0</v>
      </c>
      <c r="G46" s="155">
        <f>IF(O37=0,0,IF(O37=1,0,VLOOKUP($O37,$B39:$M45,G$1,0)))</f>
        <v>0</v>
      </c>
      <c r="H46" s="155">
        <f>IF(O37=0,0,IF(O37=1,0,VLOOKUP($O37,$B39:$M45,H$1,0)))</f>
        <v>0</v>
      </c>
      <c r="I46" s="155">
        <f>IF(O37=0,0,IF(O37=1,0,VLOOKUP($O37,$B39:$M45,I$1,0)))</f>
        <v>0</v>
      </c>
      <c r="J46" s="155">
        <f>IF(O37=0,0,IF(O37=1,0,VLOOKUP($O37,$B39:$M45,J$1,0)))</f>
        <v>0</v>
      </c>
      <c r="K46" s="155">
        <f>IF(O37=0,0,IF(O37=1,0,VLOOKUP($O37,$B39:$M45,K$1,0)))</f>
        <v>0</v>
      </c>
      <c r="L46" s="155">
        <f>IF(O37=0,0,IF(O37=1,0,VLOOKUP($O37,$B39:$M45,L$1,0)))</f>
        <v>0</v>
      </c>
      <c r="M46" s="155">
        <f>IF(O37=0,0,IF(O37=1,0,VLOOKUP($O37,$B39:$M45,M$1,0)))</f>
        <v>0</v>
      </c>
      <c r="O46" s="141"/>
    </row>
    <row r="47" spans="1:16">
      <c r="A47" s="775"/>
      <c r="B47" s="779" t="s">
        <v>323</v>
      </c>
      <c r="C47" s="780"/>
      <c r="D47" s="156">
        <f>IF(O37=0,0,IF(O41&gt;12,12,O41))</f>
        <v>0</v>
      </c>
      <c r="E47" s="156">
        <f>IF(O37=0,0,IF((O41-D47)&gt;12,12,(O41-D47)))</f>
        <v>0</v>
      </c>
      <c r="F47" s="156">
        <f>IF(O37=0,0,IF((O41-E47-D47)&gt;12,12,(O41-D47-E47)))</f>
        <v>0</v>
      </c>
      <c r="G47" s="156">
        <f>IF(O37=0,0,IF((O41-F47-E47-D47)&gt;12,12,(O41-E47-F47-D47)))</f>
        <v>0</v>
      </c>
      <c r="H47" s="156">
        <f>IF(O37=0,0,IF((O41-G47-F47-E47-D47)&gt;12,12,(O41-F47-G47-E47-D47)))</f>
        <v>0</v>
      </c>
      <c r="I47" s="156">
        <f>IF(O37=0,0,IF((O41-H47-G47-F47-E47-D47)&gt;12,12,(O41-G47-H47-F47-E47-D47)))</f>
        <v>0</v>
      </c>
      <c r="J47" s="156">
        <f>IF(O37=0,0,IF((O41-I47-H47-G47-F47-E47-D47)&gt;12,12,(O41-H47-I47-G47-F47-E47-D47)))</f>
        <v>0</v>
      </c>
      <c r="K47" s="156">
        <f>IF(O37=0,0,IF((O41-J47-I47-H47-G47-F47-E47-D47)&gt;12,12,(O41-I47-J47-H47-G47-F47-E47-D47)))</f>
        <v>0</v>
      </c>
      <c r="L47" s="156">
        <f>IF(O37=0,0,IF((O41-J47-I47-H47-G47-F47-E47-D47)&gt;12,12,(O41-I47-J47-H47-G47-F47-E47-D47-K47)))</f>
        <v>0</v>
      </c>
      <c r="M47" s="156">
        <f>IF(O37=0,0,IF((O41-J47-I47-H47-G47-F47-E47-D47)&gt;12,12,(O41-I47-J47-H47-G47-F47-E47-D47-K47-L47)))</f>
        <v>0</v>
      </c>
      <c r="O47" s="141"/>
    </row>
    <row r="48" spans="1:16" ht="15.75" thickBot="1">
      <c r="A48" s="776"/>
      <c r="B48" s="781" t="s">
        <v>324</v>
      </c>
      <c r="C48" s="782"/>
      <c r="D48" s="157">
        <f>+D46/12*D47</f>
        <v>0</v>
      </c>
      <c r="E48" s="157">
        <f t="shared" ref="E48:M48" si="3">+E46/12*E47</f>
        <v>0</v>
      </c>
      <c r="F48" s="157">
        <f t="shared" si="3"/>
        <v>0</v>
      </c>
      <c r="G48" s="157">
        <f t="shared" si="3"/>
        <v>0</v>
      </c>
      <c r="H48" s="157">
        <f t="shared" si="3"/>
        <v>0</v>
      </c>
      <c r="I48" s="157">
        <f t="shared" si="3"/>
        <v>0</v>
      </c>
      <c r="J48" s="157">
        <f t="shared" si="3"/>
        <v>0</v>
      </c>
      <c r="K48" s="157">
        <f t="shared" si="3"/>
        <v>0</v>
      </c>
      <c r="L48" s="157">
        <f t="shared" si="3"/>
        <v>0</v>
      </c>
      <c r="M48" s="157">
        <f t="shared" si="3"/>
        <v>0</v>
      </c>
      <c r="N48" s="158"/>
      <c r="O48" s="159"/>
    </row>
    <row r="49" spans="1:16">
      <c r="A49" s="774">
        <f>+'5.Equipments'!A7</f>
        <v>5</v>
      </c>
      <c r="B49" s="133">
        <f>IF('5.Equipments'!E7=0,0,'5.Equipments'!C7)</f>
        <v>0</v>
      </c>
      <c r="C49" s="134"/>
      <c r="D49" s="135">
        <v>3</v>
      </c>
      <c r="E49" s="135">
        <v>4</v>
      </c>
      <c r="F49" s="135">
        <v>5</v>
      </c>
      <c r="G49" s="135">
        <v>6</v>
      </c>
      <c r="H49" s="135">
        <v>7</v>
      </c>
      <c r="I49" s="135">
        <v>8</v>
      </c>
      <c r="J49" s="135">
        <v>9</v>
      </c>
      <c r="K49" s="135">
        <v>10</v>
      </c>
      <c r="L49" s="135">
        <v>11</v>
      </c>
      <c r="M49" s="135">
        <v>12</v>
      </c>
      <c r="N49" s="136" t="s">
        <v>299</v>
      </c>
      <c r="O49" s="137">
        <f>+O50/12</f>
        <v>0</v>
      </c>
    </row>
    <row r="50" spans="1:16">
      <c r="A50" s="775"/>
      <c r="B50" s="138" t="s">
        <v>302</v>
      </c>
      <c r="C50" s="139" t="s">
        <v>303</v>
      </c>
      <c r="D50" s="139" t="s">
        <v>304</v>
      </c>
      <c r="E50" s="139" t="s">
        <v>305</v>
      </c>
      <c r="F50" s="139" t="s">
        <v>306</v>
      </c>
      <c r="G50" s="139" t="s">
        <v>307</v>
      </c>
      <c r="H50" s="139" t="s">
        <v>308</v>
      </c>
      <c r="I50" s="139" t="s">
        <v>309</v>
      </c>
      <c r="J50" s="139" t="s">
        <v>310</v>
      </c>
      <c r="K50" s="139" t="s">
        <v>311</v>
      </c>
      <c r="L50" s="139" t="s">
        <v>312</v>
      </c>
      <c r="M50" s="139" t="s">
        <v>313</v>
      </c>
      <c r="N50" s="140" t="s">
        <v>314</v>
      </c>
      <c r="O50" s="141">
        <f>IFERROR(VLOOKUP(A49,Tabela8[[No.]:[Institution**]],4,0)*12,0)</f>
        <v>0</v>
      </c>
    </row>
    <row r="51" spans="1:16">
      <c r="A51" s="775"/>
      <c r="B51" s="138">
        <v>3</v>
      </c>
      <c r="C51" s="142">
        <v>0.5</v>
      </c>
      <c r="D51" s="143">
        <f>B49*C51</f>
        <v>0</v>
      </c>
      <c r="E51" s="143">
        <f>D51*C51</f>
        <v>0</v>
      </c>
      <c r="F51" s="143">
        <f>B49-D51-E51</f>
        <v>0</v>
      </c>
      <c r="G51" s="144"/>
      <c r="H51" s="144"/>
      <c r="I51" s="144"/>
      <c r="J51" s="144"/>
      <c r="K51" s="144"/>
      <c r="L51" s="144"/>
      <c r="M51" s="144"/>
      <c r="N51" s="145" t="s">
        <v>315</v>
      </c>
      <c r="O51" s="141">
        <f>+Info!B7</f>
        <v>36</v>
      </c>
    </row>
    <row r="52" spans="1:16">
      <c r="A52" s="775"/>
      <c r="B52" s="138">
        <v>4</v>
      </c>
      <c r="C52" s="142">
        <v>0.375</v>
      </c>
      <c r="D52" s="143">
        <f>B49*$C$4</f>
        <v>0</v>
      </c>
      <c r="E52" s="143">
        <f>(B49-D52)*C52</f>
        <v>0</v>
      </c>
      <c r="F52" s="143">
        <f>(+B49-D52-E52)/2</f>
        <v>0</v>
      </c>
      <c r="G52" s="143">
        <f>+F52</f>
        <v>0</v>
      </c>
      <c r="H52" s="144"/>
      <c r="I52" s="144"/>
      <c r="J52" s="144"/>
      <c r="K52" s="144"/>
      <c r="L52" s="144"/>
      <c r="M52" s="144"/>
      <c r="N52" s="145" t="s">
        <v>316</v>
      </c>
      <c r="O52" s="141" t="str">
        <f>VLOOKUP(A49,'5.Equipments'!$A$3:$E$22,5,0)</f>
        <v/>
      </c>
    </row>
    <row r="53" spans="1:16">
      <c r="A53" s="775"/>
      <c r="B53" s="138">
        <v>5</v>
      </c>
      <c r="C53" s="142">
        <v>0.4</v>
      </c>
      <c r="D53" s="143">
        <f>B49*$C$5</f>
        <v>0</v>
      </c>
      <c r="E53" s="143">
        <f>(B49-D53)*C53</f>
        <v>0</v>
      </c>
      <c r="F53" s="143">
        <f>(B49-D53-E53)*C53</f>
        <v>0</v>
      </c>
      <c r="G53" s="143">
        <f>(+B49-D53-E53-F53)/2</f>
        <v>0</v>
      </c>
      <c r="H53" s="143">
        <f>B49-D53-E53-F53-G53</f>
        <v>0</v>
      </c>
      <c r="I53" s="144"/>
      <c r="J53" s="144"/>
      <c r="K53" s="144"/>
      <c r="L53" s="144"/>
      <c r="M53" s="144"/>
      <c r="N53" t="s">
        <v>317</v>
      </c>
      <c r="O53" s="141" t="str">
        <f>+'5.Equipments'!F7</f>
        <v/>
      </c>
    </row>
    <row r="54" spans="1:16">
      <c r="A54" s="775"/>
      <c r="B54" s="138">
        <v>6</v>
      </c>
      <c r="C54" s="142">
        <v>0.33333333333333331</v>
      </c>
      <c r="D54" s="146">
        <f>B49*$C$6</f>
        <v>0</v>
      </c>
      <c r="E54" s="146">
        <f>(B49-D54)*C54</f>
        <v>0</v>
      </c>
      <c r="F54" s="146">
        <f>(B49-D54-E54)*C54</f>
        <v>0</v>
      </c>
      <c r="G54" s="146">
        <f>(B49-D54-E54-F54)*C54</f>
        <v>0</v>
      </c>
      <c r="H54" s="146">
        <f>(+B49-D54-E54-F54-G54)/2</f>
        <v>0</v>
      </c>
      <c r="I54" s="146">
        <f>B49-D54-E54-F54-G54-H54</f>
        <v>0</v>
      </c>
      <c r="J54" s="144"/>
      <c r="K54" s="144"/>
      <c r="L54" s="144"/>
      <c r="M54" s="144"/>
      <c r="N54" s="145" t="s">
        <v>318</v>
      </c>
      <c r="O54" s="147">
        <f>SUM(D60:M60)</f>
        <v>0</v>
      </c>
    </row>
    <row r="55" spans="1:16">
      <c r="A55" s="775"/>
      <c r="B55" s="138">
        <v>7</v>
      </c>
      <c r="C55" s="142">
        <v>0.3571428571428571</v>
      </c>
      <c r="D55" s="143">
        <f>B49*$C$7</f>
        <v>0</v>
      </c>
      <c r="E55" s="143">
        <f>(B49-D55)*C55</f>
        <v>0</v>
      </c>
      <c r="F55" s="143">
        <f>(B49-D55-E55)*C55</f>
        <v>0</v>
      </c>
      <c r="G55" s="143">
        <f>(B49-D55-E55-F55)*C55</f>
        <v>0</v>
      </c>
      <c r="H55" s="143">
        <f>(B49-D55-E55-F55-G55)*C55</f>
        <v>0</v>
      </c>
      <c r="I55" s="143">
        <f>(+B49-D55-E55-F55-G55-H55)/2</f>
        <v>0</v>
      </c>
      <c r="J55" s="143">
        <f>B49-D55-E55-F55-G55-H55-I55</f>
        <v>0</v>
      </c>
      <c r="K55" s="144"/>
      <c r="L55" s="144"/>
      <c r="M55" s="144"/>
      <c r="N55" s="149" t="s">
        <v>320</v>
      </c>
      <c r="O55" s="150">
        <f>(B49-O54)*1.23</f>
        <v>0</v>
      </c>
      <c r="P55" s="148" t="s">
        <v>321</v>
      </c>
    </row>
    <row r="56" spans="1:16">
      <c r="A56" s="775"/>
      <c r="B56" s="138">
        <v>8</v>
      </c>
      <c r="C56" s="142">
        <v>0.3125</v>
      </c>
      <c r="D56" s="143">
        <f>B49*$C$8</f>
        <v>0</v>
      </c>
      <c r="E56" s="143">
        <f>(B49-D56)*C56</f>
        <v>0</v>
      </c>
      <c r="F56" s="143">
        <f>(B49-D56-E56)*C56</f>
        <v>0</v>
      </c>
      <c r="G56" s="143">
        <f>(B49-D56-E56-F56)*C56</f>
        <v>0</v>
      </c>
      <c r="H56" s="143">
        <f>(B49-D56-E56-F56-G56)*C56</f>
        <v>0</v>
      </c>
      <c r="I56" s="143">
        <f>+(B49-D56-E56-F56-G56-H56)/3</f>
        <v>0</v>
      </c>
      <c r="J56" s="143">
        <f>+I56</f>
        <v>0</v>
      </c>
      <c r="K56" s="143">
        <f>+J56</f>
        <v>0</v>
      </c>
      <c r="L56" s="144"/>
      <c r="M56" s="144"/>
      <c r="O56" s="141"/>
    </row>
    <row r="57" spans="1:16">
      <c r="A57" s="775"/>
      <c r="B57" s="151">
        <v>10</v>
      </c>
      <c r="C57" s="152">
        <v>0.25</v>
      </c>
      <c r="D57" s="153">
        <f>B49*$C$9</f>
        <v>0</v>
      </c>
      <c r="E57" s="153">
        <f>(B49-D57)*C57</f>
        <v>0</v>
      </c>
      <c r="F57" s="153">
        <f>(B49-D57-E57)*C57</f>
        <v>0</v>
      </c>
      <c r="G57" s="153">
        <f>(B49-D57-E57-F57)*C57</f>
        <v>0</v>
      </c>
      <c r="H57" s="153">
        <f>(B49-D57-E57-F57-G57)*C57</f>
        <v>0</v>
      </c>
      <c r="I57" s="153">
        <f>+(B49-D57-E57-F57-G57-H57)/5</f>
        <v>0</v>
      </c>
      <c r="J57" s="153">
        <f>+I57</f>
        <v>0</v>
      </c>
      <c r="K57" s="153">
        <f>+J57</f>
        <v>0</v>
      </c>
      <c r="L57" s="153">
        <f>+K57</f>
        <v>0</v>
      </c>
      <c r="M57" s="154">
        <f>+L57</f>
        <v>0</v>
      </c>
      <c r="O57" s="141"/>
    </row>
    <row r="58" spans="1:16">
      <c r="A58" s="775"/>
      <c r="B58" s="777" t="s">
        <v>322</v>
      </c>
      <c r="C58" s="778"/>
      <c r="D58" s="155">
        <f>IF(O49=0,0,IF(O49=1,(D51+E51+F51),VLOOKUP($O49,$B51:$M57,D$1,0)))</f>
        <v>0</v>
      </c>
      <c r="E58" s="155">
        <f>IF(O49=0,0,IF(O49=1,0,VLOOKUP($O49,$B51:$M57,E$1,0)))</f>
        <v>0</v>
      </c>
      <c r="F58" s="155">
        <f>IF(O49=0,0,IF(O49=1,0,VLOOKUP($O49,$B51:$M57,F$1,0)))</f>
        <v>0</v>
      </c>
      <c r="G58" s="155">
        <f>IF(O49=0,0,IF(O49=1,0,VLOOKUP($O49,$B51:$M57,G$1,0)))</f>
        <v>0</v>
      </c>
      <c r="H58" s="155">
        <f>IF(O49=0,0,IF(O49=1,0,VLOOKUP($O49,$B51:$M57,H$1,0)))</f>
        <v>0</v>
      </c>
      <c r="I58" s="155">
        <f>IF(O49=0,0,IF(O49=1,0,VLOOKUP($O49,$B51:$M57,I$1,0)))</f>
        <v>0</v>
      </c>
      <c r="J58" s="155">
        <f>IF(O49=0,0,IF(O49=1,0,VLOOKUP($O49,$B51:$M57,J$1,0)))</f>
        <v>0</v>
      </c>
      <c r="K58" s="155">
        <f>IF(O49=0,0,IF(O49=1,0,VLOOKUP($O49,$B51:$M57,K$1,0)))</f>
        <v>0</v>
      </c>
      <c r="L58" s="155">
        <f>IF(O49=0,0,IF(O49=1,0,VLOOKUP($O49,$B51:$M57,L$1,0)))</f>
        <v>0</v>
      </c>
      <c r="M58" s="155">
        <f>IF(O49=0,0,IF(O49=1,0,VLOOKUP($O49,$B51:$M57,M$1,0)))</f>
        <v>0</v>
      </c>
      <c r="O58" s="141"/>
    </row>
    <row r="59" spans="1:16">
      <c r="A59" s="775"/>
      <c r="B59" s="779" t="s">
        <v>323</v>
      </c>
      <c r="C59" s="780"/>
      <c r="D59" s="156">
        <f>IF(O49=0,0,IF(O53&gt;12,12,O53))</f>
        <v>0</v>
      </c>
      <c r="E59" s="156">
        <f>IF(O49=0,0,IF((O53-D59)&gt;12,12,(O53-D59)))</f>
        <v>0</v>
      </c>
      <c r="F59" s="156">
        <f>IF(O49=0,0,IF((O53-E59-D59)&gt;12,12,(O53-D59-E59)))</f>
        <v>0</v>
      </c>
      <c r="G59" s="156">
        <f>IF(O49=0,0,IF((O53-F59-E59-D59)&gt;12,12,(O53-E59-F59-D59)))</f>
        <v>0</v>
      </c>
      <c r="H59" s="156">
        <f>IF(O49=0,0,IF((O53-G59-F59-E59-D59)&gt;12,12,(O53-F59-G59-E59-D59)))</f>
        <v>0</v>
      </c>
      <c r="I59" s="156">
        <f>IF(O49=0,0,IF((O53-H59-G59-F59-E59-D59)&gt;12,12,(O53-G59-H59-F59-E59-D59)))</f>
        <v>0</v>
      </c>
      <c r="J59" s="156">
        <f>IF(O49=0,0,IF((O53-I59-H59-G59-F59-E59-D59)&gt;12,12,(O53-H59-I59-G59-F59-E59-D59)))</f>
        <v>0</v>
      </c>
      <c r="K59" s="156">
        <f>IF(O49=0,0,IF((O53-J59-I59-H59-G59-F59-E59-D59)&gt;12,12,(O53-I59-J59-H59-G59-F59-E59-D59)))</f>
        <v>0</v>
      </c>
      <c r="L59" s="156">
        <f>IF(O49=0,0,IF((O53-J59-I59-H59-G59-F59-E59-D59)&gt;12,12,(O53-I59-J59-H59-G59-F59-E59-D59-K59)))</f>
        <v>0</v>
      </c>
      <c r="M59" s="156">
        <f>IF(O49=0,0,IF((O53-J59-I59-H59-G59-F59-E59-D59)&gt;12,12,(O53-I59-J59-H59-G59-F59-E59-D59-K59-L59)))</f>
        <v>0</v>
      </c>
      <c r="O59" s="141"/>
    </row>
    <row r="60" spans="1:16" ht="15.75" thickBot="1">
      <c r="A60" s="776"/>
      <c r="B60" s="781" t="s">
        <v>324</v>
      </c>
      <c r="C60" s="782"/>
      <c r="D60" s="157">
        <f>+D58/12*D59</f>
        <v>0</v>
      </c>
      <c r="E60" s="157">
        <f t="shared" ref="E60:M60" si="4">+E58/12*E59</f>
        <v>0</v>
      </c>
      <c r="F60" s="157">
        <f t="shared" si="4"/>
        <v>0</v>
      </c>
      <c r="G60" s="157">
        <f t="shared" si="4"/>
        <v>0</v>
      </c>
      <c r="H60" s="157">
        <f t="shared" si="4"/>
        <v>0</v>
      </c>
      <c r="I60" s="157">
        <f t="shared" si="4"/>
        <v>0</v>
      </c>
      <c r="J60" s="157">
        <f t="shared" si="4"/>
        <v>0</v>
      </c>
      <c r="K60" s="157">
        <f t="shared" si="4"/>
        <v>0</v>
      </c>
      <c r="L60" s="157">
        <f t="shared" si="4"/>
        <v>0</v>
      </c>
      <c r="M60" s="157">
        <f t="shared" si="4"/>
        <v>0</v>
      </c>
      <c r="N60" s="158"/>
      <c r="O60" s="159"/>
    </row>
    <row r="61" spans="1:16">
      <c r="A61" s="774">
        <f>+'5.Equipments'!A8</f>
        <v>6</v>
      </c>
      <c r="B61" s="133">
        <f>IF('5.Equipments'!E8=0,0,'5.Equipments'!C8)</f>
        <v>0</v>
      </c>
      <c r="C61" s="134"/>
      <c r="D61" s="135">
        <v>3</v>
      </c>
      <c r="E61" s="135">
        <v>4</v>
      </c>
      <c r="F61" s="135">
        <v>5</v>
      </c>
      <c r="G61" s="135">
        <v>6</v>
      </c>
      <c r="H61" s="135">
        <v>7</v>
      </c>
      <c r="I61" s="135">
        <v>8</v>
      </c>
      <c r="J61" s="135">
        <v>9</v>
      </c>
      <c r="K61" s="135">
        <v>10</v>
      </c>
      <c r="L61" s="135">
        <v>11</v>
      </c>
      <c r="M61" s="135">
        <v>12</v>
      </c>
      <c r="N61" s="136" t="s">
        <v>299</v>
      </c>
      <c r="O61" s="137">
        <f>+O62/12</f>
        <v>0</v>
      </c>
    </row>
    <row r="62" spans="1:16">
      <c r="A62" s="775"/>
      <c r="B62" s="138" t="s">
        <v>302</v>
      </c>
      <c r="C62" s="139" t="s">
        <v>303</v>
      </c>
      <c r="D62" s="139" t="s">
        <v>304</v>
      </c>
      <c r="E62" s="139" t="s">
        <v>305</v>
      </c>
      <c r="F62" s="139" t="s">
        <v>306</v>
      </c>
      <c r="G62" s="139" t="s">
        <v>307</v>
      </c>
      <c r="H62" s="139" t="s">
        <v>308</v>
      </c>
      <c r="I62" s="139" t="s">
        <v>309</v>
      </c>
      <c r="J62" s="139" t="s">
        <v>310</v>
      </c>
      <c r="K62" s="139" t="s">
        <v>311</v>
      </c>
      <c r="L62" s="139" t="s">
        <v>312</v>
      </c>
      <c r="M62" s="139" t="s">
        <v>313</v>
      </c>
      <c r="N62" s="140" t="s">
        <v>314</v>
      </c>
      <c r="O62" s="141">
        <f>IFERROR(VLOOKUP(A61,Tabela8[[No.]:[Institution**]],4,0)*12,0)</f>
        <v>0</v>
      </c>
    </row>
    <row r="63" spans="1:16">
      <c r="A63" s="775"/>
      <c r="B63" s="138">
        <v>3</v>
      </c>
      <c r="C63" s="142">
        <v>0.5</v>
      </c>
      <c r="D63" s="143">
        <f>B61*C63</f>
        <v>0</v>
      </c>
      <c r="E63" s="143">
        <f>D63*C63</f>
        <v>0</v>
      </c>
      <c r="F63" s="143">
        <f>B61-D63-E63</f>
        <v>0</v>
      </c>
      <c r="G63" s="144"/>
      <c r="H63" s="144"/>
      <c r="I63" s="144"/>
      <c r="J63" s="144"/>
      <c r="K63" s="144"/>
      <c r="L63" s="144"/>
      <c r="M63" s="144"/>
      <c r="N63" s="145" t="s">
        <v>315</v>
      </c>
      <c r="O63" s="141">
        <f>+Info!B7</f>
        <v>36</v>
      </c>
    </row>
    <row r="64" spans="1:16">
      <c r="A64" s="775"/>
      <c r="B64" s="138">
        <v>4</v>
      </c>
      <c r="C64" s="142">
        <v>0.375</v>
      </c>
      <c r="D64" s="143">
        <f>B61*$C$4</f>
        <v>0</v>
      </c>
      <c r="E64" s="143">
        <f>(B61-D64)*C64</f>
        <v>0</v>
      </c>
      <c r="F64" s="143">
        <f>(+B61-D64-E64)/2</f>
        <v>0</v>
      </c>
      <c r="G64" s="143">
        <f>+F64</f>
        <v>0</v>
      </c>
      <c r="H64" s="144"/>
      <c r="I64" s="144"/>
      <c r="J64" s="144"/>
      <c r="K64" s="144"/>
      <c r="L64" s="144"/>
      <c r="M64" s="144"/>
      <c r="N64" s="145" t="s">
        <v>316</v>
      </c>
      <c r="O64" s="141" t="str">
        <f>VLOOKUP(A61,'5.Equipments'!$A$3:$E$22,5,0)</f>
        <v/>
      </c>
    </row>
    <row r="65" spans="1:16">
      <c r="A65" s="775"/>
      <c r="B65" s="138">
        <v>5</v>
      </c>
      <c r="C65" s="142">
        <v>0.4</v>
      </c>
      <c r="D65" s="143">
        <f>B61*$C$5</f>
        <v>0</v>
      </c>
      <c r="E65" s="143">
        <f>(B61-D65)*C65</f>
        <v>0</v>
      </c>
      <c r="F65" s="143">
        <f>(B61-D65-E65)*C65</f>
        <v>0</v>
      </c>
      <c r="G65" s="143">
        <f>(+B61-D65-E65-F65)/2</f>
        <v>0</v>
      </c>
      <c r="H65" s="143">
        <f>B61-D65-E65-F65-G65</f>
        <v>0</v>
      </c>
      <c r="I65" s="144"/>
      <c r="J65" s="144"/>
      <c r="K65" s="144"/>
      <c r="L65" s="144"/>
      <c r="M65" s="144"/>
      <c r="N65" t="s">
        <v>317</v>
      </c>
      <c r="O65" s="141" t="str">
        <f>+'5.Equipments'!F8</f>
        <v/>
      </c>
    </row>
    <row r="66" spans="1:16">
      <c r="A66" s="775"/>
      <c r="B66" s="138">
        <v>6</v>
      </c>
      <c r="C66" s="142">
        <v>0.33333333333333331</v>
      </c>
      <c r="D66" s="146">
        <f>B61*$C$6</f>
        <v>0</v>
      </c>
      <c r="E66" s="146">
        <f>(B61-D66)*C66</f>
        <v>0</v>
      </c>
      <c r="F66" s="146">
        <f>(B61-D66-E66)*C66</f>
        <v>0</v>
      </c>
      <c r="G66" s="146">
        <f>(B61-D66-E66-F66)*C66</f>
        <v>0</v>
      </c>
      <c r="H66" s="146">
        <f>(+B61-D66-E66-F66-G66)/2</f>
        <v>0</v>
      </c>
      <c r="I66" s="146">
        <f>B61-D66-E66-F66-G66-H66</f>
        <v>0</v>
      </c>
      <c r="J66" s="144"/>
      <c r="K66" s="144"/>
      <c r="L66" s="144"/>
      <c r="M66" s="144"/>
      <c r="N66" s="145" t="s">
        <v>318</v>
      </c>
      <c r="O66" s="147">
        <f>SUM(D72:M72)</f>
        <v>0</v>
      </c>
    </row>
    <row r="67" spans="1:16">
      <c r="A67" s="775"/>
      <c r="B67" s="138">
        <v>7</v>
      </c>
      <c r="C67" s="142">
        <v>0.3571428571428571</v>
      </c>
      <c r="D67" s="143">
        <f>B61*$C$7</f>
        <v>0</v>
      </c>
      <c r="E67" s="143">
        <f>(B61-D67)*C67</f>
        <v>0</v>
      </c>
      <c r="F67" s="143">
        <f>(B61-D67-E67)*C67</f>
        <v>0</v>
      </c>
      <c r="G67" s="143">
        <f>(B61-D67-E67-F67)*C67</f>
        <v>0</v>
      </c>
      <c r="H67" s="143">
        <f>(B61-D67-E67-F67-G67)*C67</f>
        <v>0</v>
      </c>
      <c r="I67" s="143">
        <f>(+B61-D67-E67-F67-G67-H67)/2</f>
        <v>0</v>
      </c>
      <c r="J67" s="143">
        <f>B61-D67-E67-F67-G67-H67-I67</f>
        <v>0</v>
      </c>
      <c r="K67" s="144"/>
      <c r="L67" s="144"/>
      <c r="M67" s="144"/>
      <c r="N67" s="149" t="s">
        <v>320</v>
      </c>
      <c r="O67" s="150">
        <f>(B61-O66)*1.23</f>
        <v>0</v>
      </c>
      <c r="P67" s="148" t="s">
        <v>321</v>
      </c>
    </row>
    <row r="68" spans="1:16">
      <c r="A68" s="775"/>
      <c r="B68" s="138">
        <v>8</v>
      </c>
      <c r="C68" s="142">
        <v>0.3125</v>
      </c>
      <c r="D68" s="143">
        <f>B61*$C$8</f>
        <v>0</v>
      </c>
      <c r="E68" s="143">
        <f>(B61-D68)*C68</f>
        <v>0</v>
      </c>
      <c r="F68" s="143">
        <f>(B61-D68-E68)*C68</f>
        <v>0</v>
      </c>
      <c r="G68" s="143">
        <f>(B61-D68-E68-F68)*C68</f>
        <v>0</v>
      </c>
      <c r="H68" s="143">
        <f>(B61-D68-E68-F68-G68)*C68</f>
        <v>0</v>
      </c>
      <c r="I68" s="143">
        <f>+(B61-D68-E68-F68-G68-H68)/3</f>
        <v>0</v>
      </c>
      <c r="J68" s="143">
        <f>+I68</f>
        <v>0</v>
      </c>
      <c r="K68" s="143">
        <f>+J68</f>
        <v>0</v>
      </c>
      <c r="L68" s="144"/>
      <c r="M68" s="144"/>
      <c r="O68" s="141"/>
    </row>
    <row r="69" spans="1:16">
      <c r="A69" s="775"/>
      <c r="B69" s="151">
        <v>10</v>
      </c>
      <c r="C69" s="152">
        <v>0.25</v>
      </c>
      <c r="D69" s="153">
        <f>B61*$C$9</f>
        <v>0</v>
      </c>
      <c r="E69" s="153">
        <f>(B61-D69)*C69</f>
        <v>0</v>
      </c>
      <c r="F69" s="153">
        <f>(B61-D69-E69)*C69</f>
        <v>0</v>
      </c>
      <c r="G69" s="153">
        <f>(B61-D69-E69-F69)*C69</f>
        <v>0</v>
      </c>
      <c r="H69" s="153">
        <f>(B61-D69-E69-F69-G69)*C69</f>
        <v>0</v>
      </c>
      <c r="I69" s="153">
        <f>+(B61-D69-E69-F69-G69-H69)/5</f>
        <v>0</v>
      </c>
      <c r="J69" s="153">
        <f>+I69</f>
        <v>0</v>
      </c>
      <c r="K69" s="153">
        <f>+J69</f>
        <v>0</v>
      </c>
      <c r="L69" s="153">
        <f>+K69</f>
        <v>0</v>
      </c>
      <c r="M69" s="154">
        <f>+L69</f>
        <v>0</v>
      </c>
      <c r="O69" s="141"/>
    </row>
    <row r="70" spans="1:16">
      <c r="A70" s="775"/>
      <c r="B70" s="777" t="s">
        <v>322</v>
      </c>
      <c r="C70" s="778"/>
      <c r="D70" s="155">
        <f>IF(O61=0,0,IF(O61=1,(D63+E63+F63),VLOOKUP($O61,$B63:$M69,D$1,0)))</f>
        <v>0</v>
      </c>
      <c r="E70" s="155">
        <f>IF(O61=0,0,IF(O61=1,0,VLOOKUP($O61,$B63:$M69,E$1,0)))</f>
        <v>0</v>
      </c>
      <c r="F70" s="155">
        <f>IF(O61=0,0,IF(O61=1,0,VLOOKUP($O61,$B63:$M69,F$1,0)))</f>
        <v>0</v>
      </c>
      <c r="G70" s="155">
        <f>IF(O61=0,0,IF(O61=1,0,VLOOKUP($O61,$B63:$M69,G$1,0)))</f>
        <v>0</v>
      </c>
      <c r="H70" s="155">
        <f>IF(O61=0,0,IF(O61=1,0,VLOOKUP($O61,$B63:$M69,H$1,0)))</f>
        <v>0</v>
      </c>
      <c r="I70" s="155">
        <f>IF(O61=0,0,IF(O61=1,0,VLOOKUP($O61,$B63:$M69,I$1,0)))</f>
        <v>0</v>
      </c>
      <c r="J70" s="155">
        <f>IF(O61=0,0,IF(O61=1,0,VLOOKUP($O61,$B63:$M69,J$1,0)))</f>
        <v>0</v>
      </c>
      <c r="K70" s="155">
        <f>IF(O61=0,0,IF(O61=1,0,VLOOKUP($O61,$B63:$M69,K$1,0)))</f>
        <v>0</v>
      </c>
      <c r="L70" s="155">
        <f>IF(O61=0,0,IF(O61=1,0,VLOOKUP($O61,$B63:$M69,L$1,0)))</f>
        <v>0</v>
      </c>
      <c r="M70" s="155">
        <f>IF(O61=0,0,IF(O61=1,0,VLOOKUP($O61,$B63:$M69,M$1,0)))</f>
        <v>0</v>
      </c>
      <c r="O70" s="141"/>
    </row>
    <row r="71" spans="1:16">
      <c r="A71" s="775"/>
      <c r="B71" s="779" t="s">
        <v>323</v>
      </c>
      <c r="C71" s="780"/>
      <c r="D71" s="156">
        <f>IF(O61=0,0,IF(O65&gt;12,12,O65))</f>
        <v>0</v>
      </c>
      <c r="E71" s="156">
        <f>IF(O61=0,0,IF((O65-D71)&gt;12,12,(O65-D71)))</f>
        <v>0</v>
      </c>
      <c r="F71" s="156">
        <f>IF(O61=0,0,IF((O65-E71-D71)&gt;12,12,(O65-D71-E71)))</f>
        <v>0</v>
      </c>
      <c r="G71" s="156">
        <f>IF(O61=0,0,IF((O65-F71-E71-D71)&gt;12,12,(O65-E71-F71-D71)))</f>
        <v>0</v>
      </c>
      <c r="H71" s="156">
        <f>IF(O61=0,0,IF((O65-G71-F71-E71-D71)&gt;12,12,(O65-F71-G71-E71-D71)))</f>
        <v>0</v>
      </c>
      <c r="I71" s="156">
        <f>IF(O61=0,0,IF((O65-H71-G71-F71-E71-D71)&gt;12,12,(O65-G71-H71-F71-E71-D71)))</f>
        <v>0</v>
      </c>
      <c r="J71" s="156">
        <f>IF(O61=0,0,IF((O65-I71-H71-G71-F71-E71-D71)&gt;12,12,(O65-H71-I71-G71-F71-E71-D71)))</f>
        <v>0</v>
      </c>
      <c r="K71" s="156">
        <f>IF(O61=0,0,IF((O65-J71-I71-H71-G71-F71-E71-D71)&gt;12,12,(O65-I71-J71-H71-G71-F71-E71-D71)))</f>
        <v>0</v>
      </c>
      <c r="L71" s="156">
        <f>IF(O61=0,0,IF((O65-J71-I71-H71-G71-F71-E71-D71)&gt;12,12,(O65-I71-J71-H71-G71-F71-E71-D71-K71)))</f>
        <v>0</v>
      </c>
      <c r="M71" s="156">
        <f>IF(O61=0,0,IF((O65-J71-I71-H71-G71-F71-E71-D71)&gt;12,12,(O65-I71-J71-H71-G71-F71-E71-D71-K71-L71)))</f>
        <v>0</v>
      </c>
      <c r="O71" s="141"/>
    </row>
    <row r="72" spans="1:16" ht="15.75" thickBot="1">
      <c r="A72" s="776"/>
      <c r="B72" s="781" t="s">
        <v>324</v>
      </c>
      <c r="C72" s="782"/>
      <c r="D72" s="157">
        <f>+D70/12*D71</f>
        <v>0</v>
      </c>
      <c r="E72" s="157">
        <f t="shared" ref="E72:M72" si="5">+E70/12*E71</f>
        <v>0</v>
      </c>
      <c r="F72" s="157">
        <f t="shared" si="5"/>
        <v>0</v>
      </c>
      <c r="G72" s="157">
        <f t="shared" si="5"/>
        <v>0</v>
      </c>
      <c r="H72" s="157">
        <f t="shared" si="5"/>
        <v>0</v>
      </c>
      <c r="I72" s="157">
        <f t="shared" si="5"/>
        <v>0</v>
      </c>
      <c r="J72" s="157">
        <f t="shared" si="5"/>
        <v>0</v>
      </c>
      <c r="K72" s="157">
        <f t="shared" si="5"/>
        <v>0</v>
      </c>
      <c r="L72" s="157">
        <f t="shared" si="5"/>
        <v>0</v>
      </c>
      <c r="M72" s="157">
        <f t="shared" si="5"/>
        <v>0</v>
      </c>
      <c r="N72" s="158"/>
      <c r="O72" s="159"/>
    </row>
    <row r="73" spans="1:16">
      <c r="A73" s="774">
        <f>+'5.Equipments'!A9</f>
        <v>7</v>
      </c>
      <c r="B73" s="133">
        <f>IF('5.Equipments'!E9=0,0,'5.Equipments'!C9)</f>
        <v>0</v>
      </c>
      <c r="C73" s="134"/>
      <c r="D73" s="135">
        <v>3</v>
      </c>
      <c r="E73" s="135">
        <v>4</v>
      </c>
      <c r="F73" s="135">
        <v>5</v>
      </c>
      <c r="G73" s="135">
        <v>6</v>
      </c>
      <c r="H73" s="135">
        <v>7</v>
      </c>
      <c r="I73" s="135">
        <v>8</v>
      </c>
      <c r="J73" s="135">
        <v>9</v>
      </c>
      <c r="K73" s="135">
        <v>10</v>
      </c>
      <c r="L73" s="135">
        <v>11</v>
      </c>
      <c r="M73" s="135">
        <v>12</v>
      </c>
      <c r="N73" s="136" t="s">
        <v>299</v>
      </c>
      <c r="O73" s="137">
        <f>+O74/12</f>
        <v>0</v>
      </c>
    </row>
    <row r="74" spans="1:16">
      <c r="A74" s="775"/>
      <c r="B74" s="138" t="s">
        <v>302</v>
      </c>
      <c r="C74" s="139" t="s">
        <v>303</v>
      </c>
      <c r="D74" s="139" t="s">
        <v>304</v>
      </c>
      <c r="E74" s="139" t="s">
        <v>305</v>
      </c>
      <c r="F74" s="139" t="s">
        <v>306</v>
      </c>
      <c r="G74" s="139" t="s">
        <v>307</v>
      </c>
      <c r="H74" s="139" t="s">
        <v>308</v>
      </c>
      <c r="I74" s="139" t="s">
        <v>309</v>
      </c>
      <c r="J74" s="139" t="s">
        <v>310</v>
      </c>
      <c r="K74" s="139" t="s">
        <v>311</v>
      </c>
      <c r="L74" s="139" t="s">
        <v>312</v>
      </c>
      <c r="M74" s="139" t="s">
        <v>313</v>
      </c>
      <c r="N74" s="140" t="s">
        <v>314</v>
      </c>
      <c r="O74" s="141">
        <f>IFERROR(VLOOKUP(A73,Tabela8[[No.]:[Institution**]],4,0)*12,0)</f>
        <v>0</v>
      </c>
    </row>
    <row r="75" spans="1:16">
      <c r="A75" s="775"/>
      <c r="B75" s="138">
        <v>3</v>
      </c>
      <c r="C75" s="142">
        <v>0.5</v>
      </c>
      <c r="D75" s="143">
        <f>B73*C75</f>
        <v>0</v>
      </c>
      <c r="E75" s="143">
        <f>D75*C75</f>
        <v>0</v>
      </c>
      <c r="F75" s="143">
        <f>B73-D75-E75</f>
        <v>0</v>
      </c>
      <c r="G75" s="144"/>
      <c r="H75" s="144"/>
      <c r="I75" s="144"/>
      <c r="J75" s="144"/>
      <c r="K75" s="144"/>
      <c r="L75" s="144"/>
      <c r="M75" s="144"/>
      <c r="N75" s="145" t="s">
        <v>315</v>
      </c>
      <c r="O75" s="141">
        <f>+Info!B7</f>
        <v>36</v>
      </c>
    </row>
    <row r="76" spans="1:16">
      <c r="A76" s="775"/>
      <c r="B76" s="138">
        <v>4</v>
      </c>
      <c r="C76" s="142">
        <v>0.375</v>
      </c>
      <c r="D76" s="143">
        <f>B73*$C$4</f>
        <v>0</v>
      </c>
      <c r="E76" s="143">
        <f>(B73-D76)*C76</f>
        <v>0</v>
      </c>
      <c r="F76" s="143">
        <f>(+B73-D76-E76)/2</f>
        <v>0</v>
      </c>
      <c r="G76" s="143">
        <f>+F76</f>
        <v>0</v>
      </c>
      <c r="H76" s="144"/>
      <c r="I76" s="144"/>
      <c r="J76" s="144"/>
      <c r="K76" s="144"/>
      <c r="L76" s="144"/>
      <c r="M76" s="144"/>
      <c r="N76" s="145" t="s">
        <v>316</v>
      </c>
      <c r="O76" s="141" t="str">
        <f>VLOOKUP(A73,'5.Equipments'!$A$3:$E$22,5,0)</f>
        <v/>
      </c>
    </row>
    <row r="77" spans="1:16">
      <c r="A77" s="775"/>
      <c r="B77" s="138">
        <v>5</v>
      </c>
      <c r="C77" s="142">
        <v>0.4</v>
      </c>
      <c r="D77" s="143">
        <f>B73*$C$5</f>
        <v>0</v>
      </c>
      <c r="E77" s="143">
        <f>(B73-D77)*C77</f>
        <v>0</v>
      </c>
      <c r="F77" s="143">
        <f>(B73-D77-E77)*C77</f>
        <v>0</v>
      </c>
      <c r="G77" s="143">
        <f>(+B73-D77-E77-F77)/2</f>
        <v>0</v>
      </c>
      <c r="H77" s="143">
        <f>B73-D77-E77-F77-G77</f>
        <v>0</v>
      </c>
      <c r="I77" s="144"/>
      <c r="J77" s="144"/>
      <c r="K77" s="144"/>
      <c r="L77" s="144"/>
      <c r="M77" s="144"/>
      <c r="N77" t="s">
        <v>317</v>
      </c>
      <c r="O77" s="141" t="str">
        <f>+'5.Equipments'!F9</f>
        <v/>
      </c>
    </row>
    <row r="78" spans="1:16">
      <c r="A78" s="775"/>
      <c r="B78" s="138">
        <v>6</v>
      </c>
      <c r="C78" s="142">
        <v>0.33333333333333331</v>
      </c>
      <c r="D78" s="146">
        <f>B73*$C$6</f>
        <v>0</v>
      </c>
      <c r="E78" s="146">
        <f>(B73-D78)*C78</f>
        <v>0</v>
      </c>
      <c r="F78" s="146">
        <f>(B73-D78-E78)*C78</f>
        <v>0</v>
      </c>
      <c r="G78" s="146">
        <f>(B73-D78-E78-F78)*C78</f>
        <v>0</v>
      </c>
      <c r="H78" s="146">
        <f>(+B73-D78-E78-F78-G78)/2</f>
        <v>0</v>
      </c>
      <c r="I78" s="146">
        <f>B73-D78-E78-F78-G78-H78</f>
        <v>0</v>
      </c>
      <c r="J78" s="144"/>
      <c r="K78" s="144"/>
      <c r="L78" s="144"/>
      <c r="M78" s="144"/>
      <c r="N78" s="145" t="s">
        <v>318</v>
      </c>
      <c r="O78" s="147">
        <f>SUM(D84:M84)</f>
        <v>0</v>
      </c>
    </row>
    <row r="79" spans="1:16">
      <c r="A79" s="775"/>
      <c r="B79" s="138">
        <v>7</v>
      </c>
      <c r="C79" s="142">
        <v>0.3571428571428571</v>
      </c>
      <c r="D79" s="143">
        <f>B73*$C$7</f>
        <v>0</v>
      </c>
      <c r="E79" s="143">
        <f>(B73-D79)*C79</f>
        <v>0</v>
      </c>
      <c r="F79" s="143">
        <f>(B73-D79-E79)*C79</f>
        <v>0</v>
      </c>
      <c r="G79" s="143">
        <f>(B73-D79-E79-F79)*C79</f>
        <v>0</v>
      </c>
      <c r="H79" s="143">
        <f>(B73-D79-E79-F79-G79)*C79</f>
        <v>0</v>
      </c>
      <c r="I79" s="143">
        <f>(+B73-D79-E79-F79-G79-H79)/2</f>
        <v>0</v>
      </c>
      <c r="J79" s="143">
        <f>B73-D79-E79-F79-G79-H79-I79</f>
        <v>0</v>
      </c>
      <c r="K79" s="144"/>
      <c r="L79" s="144"/>
      <c r="M79" s="144"/>
      <c r="N79" s="149" t="s">
        <v>320</v>
      </c>
      <c r="O79" s="150">
        <f>(B73-O78)*1.23</f>
        <v>0</v>
      </c>
      <c r="P79" s="148" t="s">
        <v>321</v>
      </c>
    </row>
    <row r="80" spans="1:16">
      <c r="A80" s="775"/>
      <c r="B80" s="138">
        <v>8</v>
      </c>
      <c r="C80" s="142">
        <v>0.3125</v>
      </c>
      <c r="D80" s="143">
        <f>B73*$C$8</f>
        <v>0</v>
      </c>
      <c r="E80" s="143">
        <f>(B73-D80)*C80</f>
        <v>0</v>
      </c>
      <c r="F80" s="143">
        <f>(B73-D80-E80)*C80</f>
        <v>0</v>
      </c>
      <c r="G80" s="143">
        <f>(B73-D80-E80-F80)*C80</f>
        <v>0</v>
      </c>
      <c r="H80" s="143">
        <f>(B73-D80-E80-F80-G80)*C80</f>
        <v>0</v>
      </c>
      <c r="I80" s="143">
        <f>+(B73-D80-E80-F80-G80-H80)/3</f>
        <v>0</v>
      </c>
      <c r="J80" s="143">
        <f>+I80</f>
        <v>0</v>
      </c>
      <c r="K80" s="143">
        <f>+J80</f>
        <v>0</v>
      </c>
      <c r="L80" s="144"/>
      <c r="M80" s="144"/>
      <c r="O80" s="141"/>
    </row>
    <row r="81" spans="1:16">
      <c r="A81" s="775"/>
      <c r="B81" s="151">
        <v>10</v>
      </c>
      <c r="C81" s="152">
        <v>0.25</v>
      </c>
      <c r="D81" s="153">
        <f>B73*$C$9</f>
        <v>0</v>
      </c>
      <c r="E81" s="153">
        <f>(B73-D81)*C81</f>
        <v>0</v>
      </c>
      <c r="F81" s="153">
        <f>(B73-D81-E81)*C81</f>
        <v>0</v>
      </c>
      <c r="G81" s="153">
        <f>(B73-D81-E81-F81)*C81</f>
        <v>0</v>
      </c>
      <c r="H81" s="153">
        <f>(B73-D81-E81-F81-G81)*C81</f>
        <v>0</v>
      </c>
      <c r="I81" s="153">
        <f>+(B73-D81-E81-F81-G81-H81)/5</f>
        <v>0</v>
      </c>
      <c r="J81" s="153">
        <f>+I81</f>
        <v>0</v>
      </c>
      <c r="K81" s="153">
        <f>+J81</f>
        <v>0</v>
      </c>
      <c r="L81" s="153">
        <f>+K81</f>
        <v>0</v>
      </c>
      <c r="M81" s="154">
        <f>+L81</f>
        <v>0</v>
      </c>
      <c r="O81" s="141"/>
    </row>
    <row r="82" spans="1:16">
      <c r="A82" s="775"/>
      <c r="B82" s="777" t="s">
        <v>322</v>
      </c>
      <c r="C82" s="778"/>
      <c r="D82" s="155">
        <f>IF(O73=0,0,IF(O73=1,(D75+E75+F75),VLOOKUP($O73,$B75:$M81,D$1,0)))</f>
        <v>0</v>
      </c>
      <c r="E82" s="155">
        <f>IF(O73=0,0,IF(O73=1,0,VLOOKUP($O73,$B75:$M81,E$1,0)))</f>
        <v>0</v>
      </c>
      <c r="F82" s="155">
        <f>IF(O73=0,0,IF(O73=1,0,VLOOKUP($O73,$B75:$M81,F$1,0)))</f>
        <v>0</v>
      </c>
      <c r="G82" s="155">
        <f>IF(O73=0,0,IF(O73=1,0,VLOOKUP($O73,$B75:$M81,G$1,0)))</f>
        <v>0</v>
      </c>
      <c r="H82" s="155">
        <f>IF(O73=0,0,IF(O73=1,0,VLOOKUP($O73,$B75:$M81,H$1,0)))</f>
        <v>0</v>
      </c>
      <c r="I82" s="155">
        <f>IF(O73=0,0,IF(O73=1,0,VLOOKUP($O73,$B75:$M81,I$1,0)))</f>
        <v>0</v>
      </c>
      <c r="J82" s="155">
        <f>IF(O73=0,0,IF(O73=1,0,VLOOKUP($O73,$B75:$M81,J$1,0)))</f>
        <v>0</v>
      </c>
      <c r="K82" s="155">
        <f>IF(O73=0,0,IF(O73=1,0,VLOOKUP($O73,$B75:$M81,K$1,0)))</f>
        <v>0</v>
      </c>
      <c r="L82" s="155">
        <f>IF(O73=0,0,IF(O73=1,0,VLOOKUP($O73,$B75:$M81,L$1,0)))</f>
        <v>0</v>
      </c>
      <c r="M82" s="155">
        <f>IF(O73=0,0,IF(O73=1,0,VLOOKUP($O73,$B75:$M81,M$1,0)))</f>
        <v>0</v>
      </c>
      <c r="O82" s="141"/>
    </row>
    <row r="83" spans="1:16">
      <c r="A83" s="775"/>
      <c r="B83" s="779" t="s">
        <v>323</v>
      </c>
      <c r="C83" s="780"/>
      <c r="D83" s="156">
        <f>IF(O73=0,0,IF(O77&gt;12,12,O77))</f>
        <v>0</v>
      </c>
      <c r="E83" s="156">
        <f>IF(O73=0,0,IF((O77-D83)&gt;12,12,(O77-D83)))</f>
        <v>0</v>
      </c>
      <c r="F83" s="156">
        <f>IF(O73=0,0,IF((O77-E83-D83)&gt;12,12,(O77-D83-E83)))</f>
        <v>0</v>
      </c>
      <c r="G83" s="156">
        <f>IF(O73=0,0,IF((O77-F83-E83-D83)&gt;12,12,(O77-E83-F83-D83)))</f>
        <v>0</v>
      </c>
      <c r="H83" s="156">
        <f>IF(O73=0,0,IF((O77-G83-F83-E83-D83)&gt;12,12,(O77-F83-G83-E83-D83)))</f>
        <v>0</v>
      </c>
      <c r="I83" s="156">
        <f>IF(O73=0,0,IF((O77-H83-G83-F83-E83-D83)&gt;12,12,(O77-G83-H83-F83-E83-D83)))</f>
        <v>0</v>
      </c>
      <c r="J83" s="156">
        <f>IF(O73=0,0,IF((O77-I83-H83-G83-F83-E83-D83)&gt;12,12,(O77-H83-I83-G83-F83-E83-D83)))</f>
        <v>0</v>
      </c>
      <c r="K83" s="156">
        <f>IF(O73=0,0,IF((O77-J83-I83-H83-G83-F83-E83-D83)&gt;12,12,(O77-I83-J83-H83-G83-F83-E83-D83)))</f>
        <v>0</v>
      </c>
      <c r="L83" s="156">
        <f>IF(O73=0,0,IF((O77-J83-I83-H83-G83-F83-E83-D83)&gt;12,12,(O77-I83-J83-H83-G83-F83-E83-D83-K83)))</f>
        <v>0</v>
      </c>
      <c r="M83" s="156">
        <f>IF(O73=0,0,IF((O77-J83-I83-H83-G83-F83-E83-D83)&gt;12,12,(O77-I83-J83-H83-G83-F83-E83-D83-K83-L83)))</f>
        <v>0</v>
      </c>
      <c r="O83" s="141"/>
    </row>
    <row r="84" spans="1:16" ht="15.75" thickBot="1">
      <c r="A84" s="776"/>
      <c r="B84" s="781" t="s">
        <v>324</v>
      </c>
      <c r="C84" s="782"/>
      <c r="D84" s="157">
        <f>+D82/12*D83</f>
        <v>0</v>
      </c>
      <c r="E84" s="157">
        <f t="shared" ref="E84:M84" si="6">+E82/12*E83</f>
        <v>0</v>
      </c>
      <c r="F84" s="157">
        <f t="shared" si="6"/>
        <v>0</v>
      </c>
      <c r="G84" s="157">
        <f t="shared" si="6"/>
        <v>0</v>
      </c>
      <c r="H84" s="157">
        <f t="shared" si="6"/>
        <v>0</v>
      </c>
      <c r="I84" s="157">
        <f t="shared" si="6"/>
        <v>0</v>
      </c>
      <c r="J84" s="157">
        <f t="shared" si="6"/>
        <v>0</v>
      </c>
      <c r="K84" s="157">
        <f t="shared" si="6"/>
        <v>0</v>
      </c>
      <c r="L84" s="157">
        <f t="shared" si="6"/>
        <v>0</v>
      </c>
      <c r="M84" s="157">
        <f t="shared" si="6"/>
        <v>0</v>
      </c>
      <c r="N84" s="158"/>
      <c r="O84" s="159"/>
    </row>
    <row r="85" spans="1:16">
      <c r="A85" s="774">
        <f>+'5.Equipments'!A10</f>
        <v>8</v>
      </c>
      <c r="B85" s="133">
        <f>IF('5.Equipments'!E10=0,0,'5.Equipments'!C10)</f>
        <v>0</v>
      </c>
      <c r="C85" s="134"/>
      <c r="D85" s="135">
        <v>3</v>
      </c>
      <c r="E85" s="135">
        <v>4</v>
      </c>
      <c r="F85" s="135">
        <v>5</v>
      </c>
      <c r="G85" s="135">
        <v>6</v>
      </c>
      <c r="H85" s="135">
        <v>7</v>
      </c>
      <c r="I85" s="135">
        <v>8</v>
      </c>
      <c r="J85" s="135">
        <v>9</v>
      </c>
      <c r="K85" s="135">
        <v>10</v>
      </c>
      <c r="L85" s="135">
        <v>11</v>
      </c>
      <c r="M85" s="135">
        <v>12</v>
      </c>
      <c r="N85" s="136" t="s">
        <v>299</v>
      </c>
      <c r="O85" s="137">
        <f>+O86/12</f>
        <v>0</v>
      </c>
    </row>
    <row r="86" spans="1:16">
      <c r="A86" s="775"/>
      <c r="B86" s="138" t="s">
        <v>302</v>
      </c>
      <c r="C86" s="139" t="s">
        <v>303</v>
      </c>
      <c r="D86" s="139" t="s">
        <v>304</v>
      </c>
      <c r="E86" s="139" t="s">
        <v>305</v>
      </c>
      <c r="F86" s="139" t="s">
        <v>306</v>
      </c>
      <c r="G86" s="139" t="s">
        <v>307</v>
      </c>
      <c r="H86" s="139" t="s">
        <v>308</v>
      </c>
      <c r="I86" s="139" t="s">
        <v>309</v>
      </c>
      <c r="J86" s="139" t="s">
        <v>310</v>
      </c>
      <c r="K86" s="139" t="s">
        <v>311</v>
      </c>
      <c r="L86" s="139" t="s">
        <v>312</v>
      </c>
      <c r="M86" s="139" t="s">
        <v>313</v>
      </c>
      <c r="N86" s="140" t="s">
        <v>314</v>
      </c>
      <c r="O86" s="141">
        <f>IFERROR(VLOOKUP(A85,Tabela8[[No.]:[Institution**]],4,0)*12,0)</f>
        <v>0</v>
      </c>
    </row>
    <row r="87" spans="1:16">
      <c r="A87" s="775"/>
      <c r="B87" s="138">
        <v>3</v>
      </c>
      <c r="C87" s="142">
        <v>0.5</v>
      </c>
      <c r="D87" s="143">
        <f>B85*C87</f>
        <v>0</v>
      </c>
      <c r="E87" s="143">
        <f>D87*C87</f>
        <v>0</v>
      </c>
      <c r="F87" s="143">
        <f>B85-D87-E87</f>
        <v>0</v>
      </c>
      <c r="G87" s="144"/>
      <c r="H87" s="144"/>
      <c r="I87" s="144"/>
      <c r="J87" s="144"/>
      <c r="K87" s="144"/>
      <c r="L87" s="144"/>
      <c r="M87" s="144"/>
      <c r="N87" s="145" t="s">
        <v>315</v>
      </c>
      <c r="O87" s="141">
        <f>+Info!B7</f>
        <v>36</v>
      </c>
    </row>
    <row r="88" spans="1:16">
      <c r="A88" s="775"/>
      <c r="B88" s="138">
        <v>4</v>
      </c>
      <c r="C88" s="142">
        <v>0.375</v>
      </c>
      <c r="D88" s="143">
        <f>B85*$C$4</f>
        <v>0</v>
      </c>
      <c r="E88" s="143">
        <f>(B85-D88)*C88</f>
        <v>0</v>
      </c>
      <c r="F88" s="143">
        <f>(+B85-D88-E88)/2</f>
        <v>0</v>
      </c>
      <c r="G88" s="143">
        <f>+F88</f>
        <v>0</v>
      </c>
      <c r="H88" s="144"/>
      <c r="I88" s="144"/>
      <c r="J88" s="144"/>
      <c r="K88" s="144"/>
      <c r="L88" s="144"/>
      <c r="M88" s="144"/>
      <c r="N88" s="145" t="s">
        <v>316</v>
      </c>
      <c r="O88" s="141" t="str">
        <f>VLOOKUP(A85,'5.Equipments'!$A$3:$E$22,5,0)</f>
        <v/>
      </c>
    </row>
    <row r="89" spans="1:16">
      <c r="A89" s="775"/>
      <c r="B89" s="138">
        <v>5</v>
      </c>
      <c r="C89" s="142">
        <v>0.4</v>
      </c>
      <c r="D89" s="143">
        <f>B85*$C$5</f>
        <v>0</v>
      </c>
      <c r="E89" s="143">
        <f>(B85-D89)*C89</f>
        <v>0</v>
      </c>
      <c r="F89" s="143">
        <f>(B85-D89-E89)*C89</f>
        <v>0</v>
      </c>
      <c r="G89" s="143">
        <f>(+B85-D89-E89-F89)/2</f>
        <v>0</v>
      </c>
      <c r="H89" s="143">
        <f>B85-D89-E89-F89-G89</f>
        <v>0</v>
      </c>
      <c r="I89" s="144"/>
      <c r="J89" s="144"/>
      <c r="K89" s="144"/>
      <c r="L89" s="144"/>
      <c r="M89" s="144"/>
      <c r="N89" t="s">
        <v>317</v>
      </c>
      <c r="O89" s="141" t="str">
        <f>+'5.Equipments'!F10</f>
        <v/>
      </c>
    </row>
    <row r="90" spans="1:16">
      <c r="A90" s="775"/>
      <c r="B90" s="138">
        <v>6</v>
      </c>
      <c r="C90" s="142">
        <v>0.33333333333333331</v>
      </c>
      <c r="D90" s="146">
        <f>B85*$C$6</f>
        <v>0</v>
      </c>
      <c r="E90" s="146">
        <f>(B85-D90)*C90</f>
        <v>0</v>
      </c>
      <c r="F90" s="146">
        <f>(B85-D90-E90)*C90</f>
        <v>0</v>
      </c>
      <c r="G90" s="146">
        <f>(B85-D90-E90-F90)*C90</f>
        <v>0</v>
      </c>
      <c r="H90" s="146">
        <f>(+B85-D90-E90-F90-G90)/2</f>
        <v>0</v>
      </c>
      <c r="I90" s="146">
        <f>B85-D90-E90-F90-G90-H90</f>
        <v>0</v>
      </c>
      <c r="J90" s="144"/>
      <c r="K90" s="144"/>
      <c r="L90" s="144"/>
      <c r="M90" s="144"/>
      <c r="N90" s="145" t="s">
        <v>318</v>
      </c>
      <c r="O90" s="147">
        <f>SUM(D96:M96)</f>
        <v>0</v>
      </c>
    </row>
    <row r="91" spans="1:16">
      <c r="A91" s="775"/>
      <c r="B91" s="138">
        <v>7</v>
      </c>
      <c r="C91" s="142">
        <v>0.3571428571428571</v>
      </c>
      <c r="D91" s="143">
        <f>B85*$C$7</f>
        <v>0</v>
      </c>
      <c r="E91" s="143">
        <f>(B85-D91)*C91</f>
        <v>0</v>
      </c>
      <c r="F91" s="143">
        <f>(B85-D91-E91)*C91</f>
        <v>0</v>
      </c>
      <c r="G91" s="143">
        <f>(B85-D91-E91-F91)*C91</f>
        <v>0</v>
      </c>
      <c r="H91" s="143">
        <f>(B85-D91-E91-F91-G91)*C91</f>
        <v>0</v>
      </c>
      <c r="I91" s="143">
        <f>(+B85-D91-E91-F91-G91-H91)/2</f>
        <v>0</v>
      </c>
      <c r="J91" s="143">
        <f>B85-D91-E91-F91-G91-H91-I91</f>
        <v>0</v>
      </c>
      <c r="K91" s="144"/>
      <c r="L91" s="144"/>
      <c r="M91" s="144"/>
      <c r="N91" s="149" t="s">
        <v>320</v>
      </c>
      <c r="O91" s="150">
        <f>(B85-O90)*1.23</f>
        <v>0</v>
      </c>
      <c r="P91" s="148" t="s">
        <v>321</v>
      </c>
    </row>
    <row r="92" spans="1:16">
      <c r="A92" s="775"/>
      <c r="B92" s="138">
        <v>8</v>
      </c>
      <c r="C92" s="142">
        <v>0.3125</v>
      </c>
      <c r="D92" s="143">
        <f>B85*$C$8</f>
        <v>0</v>
      </c>
      <c r="E92" s="143">
        <f>(B85-D92)*C92</f>
        <v>0</v>
      </c>
      <c r="F92" s="143">
        <f>(B85-D92-E92)*C92</f>
        <v>0</v>
      </c>
      <c r="G92" s="143">
        <f>(B85-D92-E92-F92)*C92</f>
        <v>0</v>
      </c>
      <c r="H92" s="143">
        <f>(B85-D92-E92-F92-G92)*C92</f>
        <v>0</v>
      </c>
      <c r="I92" s="143">
        <f>+(B85-D92-E92-F92-G92-H92)/3</f>
        <v>0</v>
      </c>
      <c r="J92" s="143">
        <f>+I92</f>
        <v>0</v>
      </c>
      <c r="K92" s="143">
        <f>+J92</f>
        <v>0</v>
      </c>
      <c r="L92" s="144"/>
      <c r="M92" s="144"/>
      <c r="O92" s="141"/>
    </row>
    <row r="93" spans="1:16">
      <c r="A93" s="775"/>
      <c r="B93" s="151">
        <v>10</v>
      </c>
      <c r="C93" s="152">
        <v>0.25</v>
      </c>
      <c r="D93" s="153">
        <f>B85*$C$9</f>
        <v>0</v>
      </c>
      <c r="E93" s="153">
        <f>(B85-D93)*C93</f>
        <v>0</v>
      </c>
      <c r="F93" s="153">
        <f>(B85-D93-E93)*C93</f>
        <v>0</v>
      </c>
      <c r="G93" s="153">
        <f>(B85-D93-E93-F93)*C93</f>
        <v>0</v>
      </c>
      <c r="H93" s="153">
        <f>(B85-D93-E93-F93-G93)*C93</f>
        <v>0</v>
      </c>
      <c r="I93" s="153">
        <f>+(B85-D93-E93-F93-G93-H93)/5</f>
        <v>0</v>
      </c>
      <c r="J93" s="153">
        <f>+I93</f>
        <v>0</v>
      </c>
      <c r="K93" s="153">
        <f>+J93</f>
        <v>0</v>
      </c>
      <c r="L93" s="153">
        <f>+K93</f>
        <v>0</v>
      </c>
      <c r="M93" s="154">
        <f>+L93</f>
        <v>0</v>
      </c>
      <c r="O93" s="141"/>
    </row>
    <row r="94" spans="1:16">
      <c r="A94" s="775"/>
      <c r="B94" s="777" t="s">
        <v>322</v>
      </c>
      <c r="C94" s="778"/>
      <c r="D94" s="155">
        <f>IF(O85=0,0,IF(O85=1,(D87+E87+F87),VLOOKUP($O85,$B87:$M93,D$1,0)))</f>
        <v>0</v>
      </c>
      <c r="E94" s="155">
        <f>IF(O85=0,0,IF(O85=1,0,VLOOKUP($O85,$B87:$M93,E$1,0)))</f>
        <v>0</v>
      </c>
      <c r="F94" s="155">
        <f>IF(O85=0,0,IF(O85=1,0,VLOOKUP($O85,$B87:$M93,F$1,0)))</f>
        <v>0</v>
      </c>
      <c r="G94" s="155">
        <f>IF(O85=0,0,IF(O85=1,0,VLOOKUP($O85,$B87:$M93,G$1,0)))</f>
        <v>0</v>
      </c>
      <c r="H94" s="155">
        <f>IF(O85=0,0,IF(O85=1,0,VLOOKUP($O85,$B87:$M93,H$1,0)))</f>
        <v>0</v>
      </c>
      <c r="I94" s="155">
        <f>IF(O85=0,0,IF(O85=1,0,VLOOKUP($O85,$B87:$M93,I$1,0)))</f>
        <v>0</v>
      </c>
      <c r="J94" s="155">
        <f>IF(O85=0,0,IF(O85=1,0,VLOOKUP($O85,$B87:$M93,J$1,0)))</f>
        <v>0</v>
      </c>
      <c r="K94" s="155">
        <f>IF(O85=0,0,IF(O85=1,0,VLOOKUP($O85,$B87:$M93,K$1,0)))</f>
        <v>0</v>
      </c>
      <c r="L94" s="155">
        <f>IF(O85=0,0,IF(O85=1,0,VLOOKUP($O85,$B87:$M93,L$1,0)))</f>
        <v>0</v>
      </c>
      <c r="M94" s="155">
        <f>IF(O85=0,0,IF(O85=1,0,VLOOKUP($O85,$B87:$M93,M$1,0)))</f>
        <v>0</v>
      </c>
      <c r="O94" s="141"/>
    </row>
    <row r="95" spans="1:16">
      <c r="A95" s="775"/>
      <c r="B95" s="779" t="s">
        <v>323</v>
      </c>
      <c r="C95" s="780"/>
      <c r="D95" s="156">
        <f>IF(O85=0,0,IF(O89&gt;12,12,O89))</f>
        <v>0</v>
      </c>
      <c r="E95" s="156">
        <f>IF(O85=0,0,IF((O89-D95)&gt;12,12,(O89-D95)))</f>
        <v>0</v>
      </c>
      <c r="F95" s="156">
        <f>IF(O85=0,0,IF((O89-E95-D95)&gt;12,12,(O89-D95-E95)))</f>
        <v>0</v>
      </c>
      <c r="G95" s="156">
        <f>IF(O85=0,0,IF((O89-F95-E95-D95)&gt;12,12,(O89-E95-F95-D95)))</f>
        <v>0</v>
      </c>
      <c r="H95" s="156">
        <f>IF(O85=0,0,IF((O89-G95-F95-E95-D95)&gt;12,12,(O89-F95-G95-E95-D95)))</f>
        <v>0</v>
      </c>
      <c r="I95" s="156">
        <f>IF(O85=0,0,IF((O89-H95-G95-F95-E95-D95)&gt;12,12,(O89-G95-H95-F95-E95-D95)))</f>
        <v>0</v>
      </c>
      <c r="J95" s="156">
        <f>IF(O85=0,0,IF((O89-I95-H95-G95-F95-E95-D95)&gt;12,12,(O89-H95-I95-G95-F95-E95-D95)))</f>
        <v>0</v>
      </c>
      <c r="K95" s="156">
        <f>IF(O85=0,0,IF((O89-J95-I95-H95-G95-F95-E95-D95)&gt;12,12,(O89-I95-J95-H95-G95-F95-E95-D95)))</f>
        <v>0</v>
      </c>
      <c r="L95" s="156">
        <f>IF(O85=0,0,IF((O89-J95-I95-H95-G95-F95-E95-D95)&gt;12,12,(O89-I95-J95-H95-G95-F95-E95-D95-K95)))</f>
        <v>0</v>
      </c>
      <c r="M95" s="156">
        <f>IF(O85=0,0,IF((O89-J95-I95-H95-G95-F95-E95-D95)&gt;12,12,(O89-I95-J95-H95-G95-F95-E95-D95-K95-L95)))</f>
        <v>0</v>
      </c>
      <c r="O95" s="141"/>
    </row>
    <row r="96" spans="1:16" ht="15.75" thickBot="1">
      <c r="A96" s="776"/>
      <c r="B96" s="781" t="s">
        <v>324</v>
      </c>
      <c r="C96" s="782"/>
      <c r="D96" s="157">
        <f>+D94/12*D95</f>
        <v>0</v>
      </c>
      <c r="E96" s="157">
        <f t="shared" ref="E96:M96" si="7">+E94/12*E95</f>
        <v>0</v>
      </c>
      <c r="F96" s="157">
        <f t="shared" si="7"/>
        <v>0</v>
      </c>
      <c r="G96" s="157">
        <f t="shared" si="7"/>
        <v>0</v>
      </c>
      <c r="H96" s="157">
        <f t="shared" si="7"/>
        <v>0</v>
      </c>
      <c r="I96" s="157">
        <f t="shared" si="7"/>
        <v>0</v>
      </c>
      <c r="J96" s="157">
        <f t="shared" si="7"/>
        <v>0</v>
      </c>
      <c r="K96" s="157">
        <f t="shared" si="7"/>
        <v>0</v>
      </c>
      <c r="L96" s="157">
        <f t="shared" si="7"/>
        <v>0</v>
      </c>
      <c r="M96" s="157">
        <f t="shared" si="7"/>
        <v>0</v>
      </c>
      <c r="N96" s="158"/>
      <c r="O96" s="159"/>
    </row>
    <row r="97" spans="1:16">
      <c r="A97" s="774">
        <f>+'5.Equipments'!A11</f>
        <v>9</v>
      </c>
      <c r="B97" s="133">
        <f>IF('5.Equipments'!E11=0,0,'5.Equipments'!C11)</f>
        <v>0</v>
      </c>
      <c r="C97" s="134"/>
      <c r="D97" s="135">
        <v>3</v>
      </c>
      <c r="E97" s="135">
        <v>4</v>
      </c>
      <c r="F97" s="135">
        <v>5</v>
      </c>
      <c r="G97" s="135">
        <v>6</v>
      </c>
      <c r="H97" s="135">
        <v>7</v>
      </c>
      <c r="I97" s="135">
        <v>8</v>
      </c>
      <c r="J97" s="135">
        <v>9</v>
      </c>
      <c r="K97" s="135">
        <v>10</v>
      </c>
      <c r="L97" s="135">
        <v>11</v>
      </c>
      <c r="M97" s="135">
        <v>12</v>
      </c>
      <c r="N97" s="136" t="s">
        <v>299</v>
      </c>
      <c r="O97" s="137">
        <f>+O98/12</f>
        <v>0</v>
      </c>
    </row>
    <row r="98" spans="1:16">
      <c r="A98" s="775"/>
      <c r="B98" s="138" t="s">
        <v>302</v>
      </c>
      <c r="C98" s="139" t="s">
        <v>303</v>
      </c>
      <c r="D98" s="139" t="s">
        <v>304</v>
      </c>
      <c r="E98" s="139" t="s">
        <v>305</v>
      </c>
      <c r="F98" s="139" t="s">
        <v>306</v>
      </c>
      <c r="G98" s="139" t="s">
        <v>307</v>
      </c>
      <c r="H98" s="139" t="s">
        <v>308</v>
      </c>
      <c r="I98" s="139" t="s">
        <v>309</v>
      </c>
      <c r="J98" s="139" t="s">
        <v>310</v>
      </c>
      <c r="K98" s="139" t="s">
        <v>311</v>
      </c>
      <c r="L98" s="139" t="s">
        <v>312</v>
      </c>
      <c r="M98" s="139" t="s">
        <v>313</v>
      </c>
      <c r="N98" s="140" t="s">
        <v>314</v>
      </c>
      <c r="O98" s="141">
        <f>IFERROR(VLOOKUP(A97,Tabela8[[No.]:[Institution**]],4,0)*12,0)</f>
        <v>0</v>
      </c>
    </row>
    <row r="99" spans="1:16">
      <c r="A99" s="775"/>
      <c r="B99" s="138">
        <v>3</v>
      </c>
      <c r="C99" s="142">
        <v>0.5</v>
      </c>
      <c r="D99" s="143">
        <f>B97*C99</f>
        <v>0</v>
      </c>
      <c r="E99" s="143">
        <f>D99*C99</f>
        <v>0</v>
      </c>
      <c r="F99" s="143">
        <f>B97-D99-E99</f>
        <v>0</v>
      </c>
      <c r="G99" s="144"/>
      <c r="H99" s="144"/>
      <c r="I99" s="144"/>
      <c r="J99" s="144"/>
      <c r="K99" s="144"/>
      <c r="L99" s="144"/>
      <c r="M99" s="144"/>
      <c r="N99" s="145" t="s">
        <v>315</v>
      </c>
      <c r="O99" s="141">
        <f>+Info!B7</f>
        <v>36</v>
      </c>
    </row>
    <row r="100" spans="1:16">
      <c r="A100" s="775"/>
      <c r="B100" s="138">
        <v>4</v>
      </c>
      <c r="C100" s="142">
        <v>0.375</v>
      </c>
      <c r="D100" s="143">
        <f>B97*$C$4</f>
        <v>0</v>
      </c>
      <c r="E100" s="143">
        <f>(B97-D100)*C100</f>
        <v>0</v>
      </c>
      <c r="F100" s="143">
        <f>(+B97-D100-E100)/2</f>
        <v>0</v>
      </c>
      <c r="G100" s="143">
        <f>+F100</f>
        <v>0</v>
      </c>
      <c r="H100" s="144"/>
      <c r="I100" s="144"/>
      <c r="J100" s="144"/>
      <c r="K100" s="144"/>
      <c r="L100" s="144"/>
      <c r="M100" s="144"/>
      <c r="N100" s="145" t="s">
        <v>316</v>
      </c>
      <c r="O100" s="141" t="str">
        <f>VLOOKUP(A97,'5.Equipments'!$A$3:$E$22,5,0)</f>
        <v/>
      </c>
    </row>
    <row r="101" spans="1:16">
      <c r="A101" s="775"/>
      <c r="B101" s="138">
        <v>5</v>
      </c>
      <c r="C101" s="142">
        <v>0.4</v>
      </c>
      <c r="D101" s="143">
        <f>B97*$C$5</f>
        <v>0</v>
      </c>
      <c r="E101" s="143">
        <f>(B97-D101)*C101</f>
        <v>0</v>
      </c>
      <c r="F101" s="143">
        <f>(B97-D101-E101)*C101</f>
        <v>0</v>
      </c>
      <c r="G101" s="143">
        <f>(+B97-D101-E101-F101)/2</f>
        <v>0</v>
      </c>
      <c r="H101" s="143">
        <f>B97-D101-E101-F101-G101</f>
        <v>0</v>
      </c>
      <c r="I101" s="144"/>
      <c r="J101" s="144"/>
      <c r="K101" s="144"/>
      <c r="L101" s="144"/>
      <c r="M101" s="144"/>
      <c r="N101" t="s">
        <v>317</v>
      </c>
      <c r="O101" s="141" t="str">
        <f>+'5.Equipments'!F11</f>
        <v/>
      </c>
    </row>
    <row r="102" spans="1:16">
      <c r="A102" s="775"/>
      <c r="B102" s="138">
        <v>6</v>
      </c>
      <c r="C102" s="142">
        <v>0.33333333333333331</v>
      </c>
      <c r="D102" s="146">
        <f>B97*$C$6</f>
        <v>0</v>
      </c>
      <c r="E102" s="146">
        <f>(B97-D102)*C102</f>
        <v>0</v>
      </c>
      <c r="F102" s="146">
        <f>(B97-D102-E102)*C102</f>
        <v>0</v>
      </c>
      <c r="G102" s="146">
        <f>(B97-D102-E102-F102)*C102</f>
        <v>0</v>
      </c>
      <c r="H102" s="146">
        <f>(+B97-D102-E102-F102-G102)/2</f>
        <v>0</v>
      </c>
      <c r="I102" s="146">
        <f>B97-D102-E102-F102-G102-H102</f>
        <v>0</v>
      </c>
      <c r="J102" s="144"/>
      <c r="K102" s="144"/>
      <c r="L102" s="144"/>
      <c r="M102" s="144"/>
      <c r="N102" s="145" t="s">
        <v>318</v>
      </c>
      <c r="O102" s="147">
        <f>SUM(D108:M108)</f>
        <v>0</v>
      </c>
    </row>
    <row r="103" spans="1:16">
      <c r="A103" s="775"/>
      <c r="B103" s="138">
        <v>7</v>
      </c>
      <c r="C103" s="142">
        <v>0.3571428571428571</v>
      </c>
      <c r="D103" s="143">
        <f>B97*$C$7</f>
        <v>0</v>
      </c>
      <c r="E103" s="143">
        <f>(B97-D103)*C103</f>
        <v>0</v>
      </c>
      <c r="F103" s="143">
        <f>(B97-D103-E103)*C103</f>
        <v>0</v>
      </c>
      <c r="G103" s="143">
        <f>(B97-D103-E103-F103)*C103</f>
        <v>0</v>
      </c>
      <c r="H103" s="143">
        <f>(B97-D103-E103-F103-G103)*C103</f>
        <v>0</v>
      </c>
      <c r="I103" s="143">
        <f>(+B97-D103-E103-F103-G103-H103)/2</f>
        <v>0</v>
      </c>
      <c r="J103" s="143">
        <f>B97-D103-E103-F103-G103-H103-I103</f>
        <v>0</v>
      </c>
      <c r="K103" s="144"/>
      <c r="L103" s="144"/>
      <c r="M103" s="144"/>
      <c r="N103" s="149" t="s">
        <v>320</v>
      </c>
      <c r="O103" s="150">
        <f>(B97-O102)*1.23</f>
        <v>0</v>
      </c>
      <c r="P103" s="148" t="s">
        <v>321</v>
      </c>
    </row>
    <row r="104" spans="1:16">
      <c r="A104" s="775"/>
      <c r="B104" s="138">
        <v>8</v>
      </c>
      <c r="C104" s="142">
        <v>0.3125</v>
      </c>
      <c r="D104" s="143">
        <f>B97*$C$8</f>
        <v>0</v>
      </c>
      <c r="E104" s="143">
        <f>(B97-D104)*C104</f>
        <v>0</v>
      </c>
      <c r="F104" s="143">
        <f>(B97-D104-E104)*C104</f>
        <v>0</v>
      </c>
      <c r="G104" s="143">
        <f>(B97-D104-E104-F104)*C104</f>
        <v>0</v>
      </c>
      <c r="H104" s="143">
        <f>(B97-D104-E104-F104-G104)*C104</f>
        <v>0</v>
      </c>
      <c r="I104" s="143">
        <f>+(B97-D104-E104-F104-G104-H104)/3</f>
        <v>0</v>
      </c>
      <c r="J104" s="143">
        <f>+I104</f>
        <v>0</v>
      </c>
      <c r="K104" s="143">
        <f>+J104</f>
        <v>0</v>
      </c>
      <c r="L104" s="144"/>
      <c r="M104" s="144"/>
      <c r="O104" s="141"/>
    </row>
    <row r="105" spans="1:16">
      <c r="A105" s="775"/>
      <c r="B105" s="151">
        <v>10</v>
      </c>
      <c r="C105" s="152">
        <v>0.25</v>
      </c>
      <c r="D105" s="153">
        <f>B97*$C$9</f>
        <v>0</v>
      </c>
      <c r="E105" s="153">
        <f>(B97-D105)*C105</f>
        <v>0</v>
      </c>
      <c r="F105" s="153">
        <f>(B97-D105-E105)*C105</f>
        <v>0</v>
      </c>
      <c r="G105" s="153">
        <f>(B97-D105-E105-F105)*C105</f>
        <v>0</v>
      </c>
      <c r="H105" s="153">
        <f>(B97-D105-E105-F105-G105)*C105</f>
        <v>0</v>
      </c>
      <c r="I105" s="153">
        <f>+(B97-D105-E105-F105-G105-H105)/5</f>
        <v>0</v>
      </c>
      <c r="J105" s="153">
        <f>+I105</f>
        <v>0</v>
      </c>
      <c r="K105" s="153">
        <f>+J105</f>
        <v>0</v>
      </c>
      <c r="L105" s="153">
        <f>+K105</f>
        <v>0</v>
      </c>
      <c r="M105" s="154">
        <f>+L105</f>
        <v>0</v>
      </c>
      <c r="O105" s="141"/>
    </row>
    <row r="106" spans="1:16">
      <c r="A106" s="775"/>
      <c r="B106" s="777" t="s">
        <v>322</v>
      </c>
      <c r="C106" s="778"/>
      <c r="D106" s="155">
        <f>IF(O97=0,0,IF(O97=1,(D99+E99+F99),VLOOKUP($O97,$B99:$M105,D$1,0)))</f>
        <v>0</v>
      </c>
      <c r="E106" s="155">
        <f>IF(O97=0,0,IF(O97=1,0,VLOOKUP($O97,$B99:$M105,E$1,0)))</f>
        <v>0</v>
      </c>
      <c r="F106" s="155">
        <f>IF(O97=0,0,IF(O97=1,0,VLOOKUP($O97,$B99:$M105,F$1,0)))</f>
        <v>0</v>
      </c>
      <c r="G106" s="155">
        <f>IF(O97=0,0,IF(O97=1,0,VLOOKUP($O97,$B99:$M105,G$1,0)))</f>
        <v>0</v>
      </c>
      <c r="H106" s="155">
        <f>IF(O97=0,0,IF(O97=1,0,VLOOKUP($O97,$B99:$M105,H$1,0)))</f>
        <v>0</v>
      </c>
      <c r="I106" s="155">
        <f>IF(O97=0,0,IF(O97=1,0,VLOOKUP($O97,$B99:$M105,I$1,0)))</f>
        <v>0</v>
      </c>
      <c r="J106" s="155">
        <f>IF(O97=0,0,IF(O97=1,0,VLOOKUP($O97,$B99:$M105,J$1,0)))</f>
        <v>0</v>
      </c>
      <c r="K106" s="155">
        <f>IF(O97=0,0,IF(O97=1,0,VLOOKUP($O97,$B99:$M105,K$1,0)))</f>
        <v>0</v>
      </c>
      <c r="L106" s="155">
        <f>IF(O97=0,0,IF(O97=1,0,VLOOKUP($O97,$B99:$M105,L$1,0)))</f>
        <v>0</v>
      </c>
      <c r="M106" s="155">
        <f>IF(O97=0,0,IF(O97=1,0,VLOOKUP($O97,$B99:$M105,M$1,0)))</f>
        <v>0</v>
      </c>
      <c r="O106" s="141"/>
    </row>
    <row r="107" spans="1:16">
      <c r="A107" s="775"/>
      <c r="B107" s="779" t="s">
        <v>323</v>
      </c>
      <c r="C107" s="780"/>
      <c r="D107" s="156">
        <f>IF(O97=0,0,IF(O101&gt;12,12,O101))</f>
        <v>0</v>
      </c>
      <c r="E107" s="156">
        <f>IF(O97=0,0,IF((O101-D107)&gt;12,12,(O101-D107)))</f>
        <v>0</v>
      </c>
      <c r="F107" s="156">
        <f>IF(O97=0,0,IF((O101-E107-D107)&gt;12,12,(O101-D107-E107)))</f>
        <v>0</v>
      </c>
      <c r="G107" s="156">
        <f>IF(O97=0,0,IF((O101-F107-E107-D107)&gt;12,12,(O101-E107-F107-D107)))</f>
        <v>0</v>
      </c>
      <c r="H107" s="156">
        <f>IF(O97=0,0,IF((O101-G107-F107-E107-D107)&gt;12,12,(O101-F107-G107-E107-D107)))</f>
        <v>0</v>
      </c>
      <c r="I107" s="156">
        <f>IF(O97=0,0,IF((O101-H107-G107-F107-E107-D107)&gt;12,12,(O101-G107-H107-F107-E107-D107)))</f>
        <v>0</v>
      </c>
      <c r="J107" s="156">
        <f>IF(O97=0,0,IF((O101-I107-H107-G107-F107-E107-D107)&gt;12,12,(O101-H107-I107-G107-F107-E107-D107)))</f>
        <v>0</v>
      </c>
      <c r="K107" s="156">
        <f>IF(O97=0,0,IF((O101-J107-I107-H107-G107-F107-E107-D107)&gt;12,12,(O101-I107-J107-H107-G107-F107-E107-D107)))</f>
        <v>0</v>
      </c>
      <c r="L107" s="156">
        <f>IF(O97=0,0,IF((O101-J107-I107-H107-G107-F107-E107-D107)&gt;12,12,(O101-I107-J107-H107-G107-F107-E107-D107-K107)))</f>
        <v>0</v>
      </c>
      <c r="M107" s="156">
        <f>IF(O97=0,0,IF((O101-J107-I107-H107-G107-F107-E107-D107)&gt;12,12,(O101-I107-J107-H107-G107-F107-E107-D107-K107-L107)))</f>
        <v>0</v>
      </c>
      <c r="O107" s="141"/>
    </row>
    <row r="108" spans="1:16" ht="15.75" thickBot="1">
      <c r="A108" s="776"/>
      <c r="B108" s="781" t="s">
        <v>324</v>
      </c>
      <c r="C108" s="782"/>
      <c r="D108" s="157">
        <f>+D106/12*D107</f>
        <v>0</v>
      </c>
      <c r="E108" s="157">
        <f t="shared" ref="E108:M108" si="8">+E106/12*E107</f>
        <v>0</v>
      </c>
      <c r="F108" s="157">
        <f t="shared" si="8"/>
        <v>0</v>
      </c>
      <c r="G108" s="157">
        <f t="shared" si="8"/>
        <v>0</v>
      </c>
      <c r="H108" s="157">
        <f t="shared" si="8"/>
        <v>0</v>
      </c>
      <c r="I108" s="157">
        <f t="shared" si="8"/>
        <v>0</v>
      </c>
      <c r="J108" s="157">
        <f t="shared" si="8"/>
        <v>0</v>
      </c>
      <c r="K108" s="157">
        <f t="shared" si="8"/>
        <v>0</v>
      </c>
      <c r="L108" s="157">
        <f t="shared" si="8"/>
        <v>0</v>
      </c>
      <c r="M108" s="157">
        <f t="shared" si="8"/>
        <v>0</v>
      </c>
      <c r="N108" s="158"/>
      <c r="O108" s="159"/>
    </row>
    <row r="109" spans="1:16">
      <c r="A109" s="774">
        <f>+'5.Equipments'!A12</f>
        <v>10</v>
      </c>
      <c r="B109" s="133">
        <f>IF('5.Equipments'!E12=0,0,'5.Equipments'!C12)</f>
        <v>0</v>
      </c>
      <c r="C109" s="134"/>
      <c r="D109" s="135">
        <v>3</v>
      </c>
      <c r="E109" s="135">
        <v>4</v>
      </c>
      <c r="F109" s="135">
        <v>5</v>
      </c>
      <c r="G109" s="135">
        <v>6</v>
      </c>
      <c r="H109" s="135">
        <v>7</v>
      </c>
      <c r="I109" s="135">
        <v>8</v>
      </c>
      <c r="J109" s="135">
        <v>9</v>
      </c>
      <c r="K109" s="135">
        <v>10</v>
      </c>
      <c r="L109" s="135">
        <v>11</v>
      </c>
      <c r="M109" s="135">
        <v>12</v>
      </c>
      <c r="N109" s="136" t="s">
        <v>299</v>
      </c>
      <c r="O109" s="137">
        <f>+O110/12</f>
        <v>0</v>
      </c>
    </row>
    <row r="110" spans="1:16">
      <c r="A110" s="775"/>
      <c r="B110" s="138" t="s">
        <v>302</v>
      </c>
      <c r="C110" s="139" t="s">
        <v>303</v>
      </c>
      <c r="D110" s="139" t="s">
        <v>304</v>
      </c>
      <c r="E110" s="139" t="s">
        <v>305</v>
      </c>
      <c r="F110" s="139" t="s">
        <v>306</v>
      </c>
      <c r="G110" s="139" t="s">
        <v>307</v>
      </c>
      <c r="H110" s="139" t="s">
        <v>308</v>
      </c>
      <c r="I110" s="139" t="s">
        <v>309</v>
      </c>
      <c r="J110" s="139" t="s">
        <v>310</v>
      </c>
      <c r="K110" s="139" t="s">
        <v>311</v>
      </c>
      <c r="L110" s="139" t="s">
        <v>312</v>
      </c>
      <c r="M110" s="139" t="s">
        <v>313</v>
      </c>
      <c r="N110" s="140" t="s">
        <v>314</v>
      </c>
      <c r="O110" s="141">
        <f>IFERROR(VLOOKUP(A109,Tabela8[[No.]:[Institution**]],4,0)*12,0)</f>
        <v>0</v>
      </c>
    </row>
    <row r="111" spans="1:16">
      <c r="A111" s="775"/>
      <c r="B111" s="138">
        <v>3</v>
      </c>
      <c r="C111" s="142">
        <v>0.5</v>
      </c>
      <c r="D111" s="143">
        <f>B109*C111</f>
        <v>0</v>
      </c>
      <c r="E111" s="143">
        <f>D111*C111</f>
        <v>0</v>
      </c>
      <c r="F111" s="143">
        <f>B109-D111-E111</f>
        <v>0</v>
      </c>
      <c r="G111" s="144"/>
      <c r="H111" s="144"/>
      <c r="I111" s="144"/>
      <c r="J111" s="144"/>
      <c r="K111" s="144"/>
      <c r="L111" s="144"/>
      <c r="M111" s="144"/>
      <c r="N111" s="145" t="s">
        <v>315</v>
      </c>
      <c r="O111" s="141">
        <f>+Info!B7</f>
        <v>36</v>
      </c>
    </row>
    <row r="112" spans="1:16">
      <c r="A112" s="775"/>
      <c r="B112" s="138">
        <v>4</v>
      </c>
      <c r="C112" s="142">
        <v>0.375</v>
      </c>
      <c r="D112" s="143">
        <f>B109*$C$4</f>
        <v>0</v>
      </c>
      <c r="E112" s="143">
        <f>(B109-D112)*C112</f>
        <v>0</v>
      </c>
      <c r="F112" s="143">
        <f>(+B109-D112-E112)/2</f>
        <v>0</v>
      </c>
      <c r="G112" s="143">
        <f>+F112</f>
        <v>0</v>
      </c>
      <c r="H112" s="144"/>
      <c r="I112" s="144"/>
      <c r="J112" s="144"/>
      <c r="K112" s="144"/>
      <c r="L112" s="144"/>
      <c r="M112" s="144"/>
      <c r="N112" s="145" t="s">
        <v>316</v>
      </c>
      <c r="O112" s="141" t="str">
        <f>VLOOKUP(A109,'5.Equipments'!$A$3:$E$22,5,0)</f>
        <v/>
      </c>
    </row>
    <row r="113" spans="1:16">
      <c r="A113" s="775"/>
      <c r="B113" s="138">
        <v>5</v>
      </c>
      <c r="C113" s="142">
        <v>0.4</v>
      </c>
      <c r="D113" s="143">
        <f>B109*$C$5</f>
        <v>0</v>
      </c>
      <c r="E113" s="143">
        <f>(B109-D113)*C113</f>
        <v>0</v>
      </c>
      <c r="F113" s="143">
        <f>(B109-D113-E113)*C113</f>
        <v>0</v>
      </c>
      <c r="G113" s="143">
        <f>(+B109-D113-E113-F113)/2</f>
        <v>0</v>
      </c>
      <c r="H113" s="143">
        <f>B109-D113-E113-F113-G113</f>
        <v>0</v>
      </c>
      <c r="I113" s="144"/>
      <c r="J113" s="144"/>
      <c r="K113" s="144"/>
      <c r="L113" s="144"/>
      <c r="M113" s="144"/>
      <c r="N113" t="s">
        <v>317</v>
      </c>
      <c r="O113" s="141" t="str">
        <f>+'5.Equipments'!F12</f>
        <v/>
      </c>
    </row>
    <row r="114" spans="1:16">
      <c r="A114" s="775"/>
      <c r="B114" s="138">
        <v>6</v>
      </c>
      <c r="C114" s="142">
        <v>0.33333333333333331</v>
      </c>
      <c r="D114" s="146">
        <f>B109*$C$6</f>
        <v>0</v>
      </c>
      <c r="E114" s="146">
        <f>(B109-D114)*C114</f>
        <v>0</v>
      </c>
      <c r="F114" s="146">
        <f>(B109-D114-E114)*C114</f>
        <v>0</v>
      </c>
      <c r="G114" s="146">
        <f>(B109-D114-E114-F114)*C114</f>
        <v>0</v>
      </c>
      <c r="H114" s="146">
        <f>(+B109-D114-E114-F114-G114)/2</f>
        <v>0</v>
      </c>
      <c r="I114" s="146">
        <f>B109-D114-E114-F114-G114-H114</f>
        <v>0</v>
      </c>
      <c r="J114" s="144"/>
      <c r="K114" s="144"/>
      <c r="L114" s="144"/>
      <c r="M114" s="144"/>
      <c r="N114" s="145" t="s">
        <v>318</v>
      </c>
      <c r="O114" s="147">
        <f>SUM(D120:M120)</f>
        <v>0</v>
      </c>
    </row>
    <row r="115" spans="1:16">
      <c r="A115" s="775"/>
      <c r="B115" s="138">
        <v>7</v>
      </c>
      <c r="C115" s="142">
        <v>0.3571428571428571</v>
      </c>
      <c r="D115" s="143">
        <f>B109*$C$7</f>
        <v>0</v>
      </c>
      <c r="E115" s="143">
        <f>(B109-D115)*C115</f>
        <v>0</v>
      </c>
      <c r="F115" s="143">
        <f>(B109-D115-E115)*C115</f>
        <v>0</v>
      </c>
      <c r="G115" s="143">
        <f>(B109-D115-E115-F115)*C115</f>
        <v>0</v>
      </c>
      <c r="H115" s="143">
        <f>(B109-D115-E115-F115-G115)*C115</f>
        <v>0</v>
      </c>
      <c r="I115" s="143">
        <f>(+B109-D115-E115-F115-G115-H115)/2</f>
        <v>0</v>
      </c>
      <c r="J115" s="143">
        <f>B109-D115-E115-F115-G115-H115-I115</f>
        <v>0</v>
      </c>
      <c r="K115" s="144"/>
      <c r="L115" s="144"/>
      <c r="M115" s="144"/>
      <c r="N115" s="149" t="s">
        <v>320</v>
      </c>
      <c r="O115" s="150">
        <f>(B109-O114)*1.23</f>
        <v>0</v>
      </c>
      <c r="P115" s="148" t="s">
        <v>321</v>
      </c>
    </row>
    <row r="116" spans="1:16">
      <c r="A116" s="775"/>
      <c r="B116" s="138">
        <v>8</v>
      </c>
      <c r="C116" s="142">
        <v>0.3125</v>
      </c>
      <c r="D116" s="143">
        <f>B109*$C$8</f>
        <v>0</v>
      </c>
      <c r="E116" s="143">
        <f>(B109-D116)*C116</f>
        <v>0</v>
      </c>
      <c r="F116" s="143">
        <f>(B109-D116-E116)*C116</f>
        <v>0</v>
      </c>
      <c r="G116" s="143">
        <f>(B109-D116-E116-F116)*C116</f>
        <v>0</v>
      </c>
      <c r="H116" s="143">
        <f>(B109-D116-E116-F116-G116)*C116</f>
        <v>0</v>
      </c>
      <c r="I116" s="143">
        <f>+(B109-D116-E116-F116-G116-H116)/3</f>
        <v>0</v>
      </c>
      <c r="J116" s="143">
        <f>+I116</f>
        <v>0</v>
      </c>
      <c r="K116" s="143">
        <f>+J116</f>
        <v>0</v>
      </c>
      <c r="L116" s="144"/>
      <c r="M116" s="144"/>
      <c r="O116" s="141"/>
    </row>
    <row r="117" spans="1:16">
      <c r="A117" s="775"/>
      <c r="B117" s="151">
        <v>10</v>
      </c>
      <c r="C117" s="152">
        <v>0.25</v>
      </c>
      <c r="D117" s="153">
        <f>B109*$C$9</f>
        <v>0</v>
      </c>
      <c r="E117" s="153">
        <f>(B109-D117)*C117</f>
        <v>0</v>
      </c>
      <c r="F117" s="153">
        <f>(B109-D117-E117)*C117</f>
        <v>0</v>
      </c>
      <c r="G117" s="153">
        <f>(B109-D117-E117-F117)*C117</f>
        <v>0</v>
      </c>
      <c r="H117" s="153">
        <f>(B109-D117-E117-F117-G117)*C117</f>
        <v>0</v>
      </c>
      <c r="I117" s="153">
        <f>+(B109-D117-E117-F117-G117-H117)/5</f>
        <v>0</v>
      </c>
      <c r="J117" s="153">
        <f>+I117</f>
        <v>0</v>
      </c>
      <c r="K117" s="153">
        <f>+J117</f>
        <v>0</v>
      </c>
      <c r="L117" s="153">
        <f>+K117</f>
        <v>0</v>
      </c>
      <c r="M117" s="154">
        <f>+L117</f>
        <v>0</v>
      </c>
      <c r="O117" s="141"/>
    </row>
    <row r="118" spans="1:16">
      <c r="A118" s="775"/>
      <c r="B118" s="777" t="s">
        <v>322</v>
      </c>
      <c r="C118" s="778"/>
      <c r="D118" s="155">
        <f>IF(O109=0,0,IF(O109=1,(D111+E111+F111),VLOOKUP($O109,$B111:$M117,D$1,0)))</f>
        <v>0</v>
      </c>
      <c r="E118" s="155">
        <f>IF(O109=0,0,IF(O109=1,0,VLOOKUP($O109,$B111:$M117,E$1,0)))</f>
        <v>0</v>
      </c>
      <c r="F118" s="155">
        <f>IF(O109=0,0,IF(O109=1,0,VLOOKUP($O109,$B111:$M117,F$1,0)))</f>
        <v>0</v>
      </c>
      <c r="G118" s="155">
        <f>IF(O109=0,0,IF(O109=1,0,VLOOKUP($O109,$B111:$M117,G$1,0)))</f>
        <v>0</v>
      </c>
      <c r="H118" s="155">
        <f>IF(O109=0,0,IF(O109=1,0,VLOOKUP($O109,$B111:$M117,H$1,0)))</f>
        <v>0</v>
      </c>
      <c r="I118" s="155">
        <f>IF(O109=0,0,IF(O109=1,0,VLOOKUP($O109,$B111:$M117,I$1,0)))</f>
        <v>0</v>
      </c>
      <c r="J118" s="155">
        <f>IF(O109=0,0,IF(O109=1,0,VLOOKUP($O109,$B111:$M117,J$1,0)))</f>
        <v>0</v>
      </c>
      <c r="K118" s="155">
        <f>IF(O109=0,0,IF(O109=1,0,VLOOKUP($O109,$B111:$M117,K$1,0)))</f>
        <v>0</v>
      </c>
      <c r="L118" s="155">
        <f>IF(O109=0,0,IF(O109=1,0,VLOOKUP($O109,$B111:$M117,L$1,0)))</f>
        <v>0</v>
      </c>
      <c r="M118" s="155">
        <f>IF(O109=0,0,IF(O109=1,0,VLOOKUP($O109,$B111:$M117,M$1,0)))</f>
        <v>0</v>
      </c>
      <c r="O118" s="141"/>
    </row>
    <row r="119" spans="1:16">
      <c r="A119" s="775"/>
      <c r="B119" s="779" t="s">
        <v>323</v>
      </c>
      <c r="C119" s="780"/>
      <c r="D119" s="156">
        <f>IF(O109=0,0,IF(O113&gt;12,12,O113))</f>
        <v>0</v>
      </c>
      <c r="E119" s="156">
        <f>IF(O109=0,0,IF((O113-D119)&gt;12,12,(O113-D119)))</f>
        <v>0</v>
      </c>
      <c r="F119" s="156">
        <f>IF(O109=0,0,IF((O113-E119-D119)&gt;12,12,(O113-D119-E119)))</f>
        <v>0</v>
      </c>
      <c r="G119" s="156">
        <f>IF(O109=0,0,IF((O113-F119-E119-D119)&gt;12,12,(O113-E119-F119-D119)))</f>
        <v>0</v>
      </c>
      <c r="H119" s="156">
        <f>IF(O109=0,0,IF((O113-G119-F119-E119-D119)&gt;12,12,(O113-F119-G119-E119-D119)))</f>
        <v>0</v>
      </c>
      <c r="I119" s="156">
        <f>IF(O109=0,0,IF((O113-H119-G119-F119-E119-D119)&gt;12,12,(O113-G119-H119-F119-E119-D119)))</f>
        <v>0</v>
      </c>
      <c r="J119" s="156">
        <f>IF(O109=0,0,IF((O113-I119-H119-G119-F119-E119-D119)&gt;12,12,(O113-H119-I119-G119-F119-E119-D119)))</f>
        <v>0</v>
      </c>
      <c r="K119" s="156">
        <f>IF(O109=0,0,IF((O113-J119-I119-H119-G119-F119-E119-D119)&gt;12,12,(O113-I119-J119-H119-G119-F119-E119-D119)))</f>
        <v>0</v>
      </c>
      <c r="L119" s="156">
        <f>IF(O109=0,0,IF((O113-J119-I119-H119-G119-F119-E119-D119)&gt;12,12,(O113-I119-J119-H119-G119-F119-E119-D119-K119)))</f>
        <v>0</v>
      </c>
      <c r="M119" s="156">
        <f>IF(O109=0,0,IF((O113-J119-I119-H119-G119-F119-E119-D119)&gt;12,12,(O113-I119-J119-H119-G119-F119-E119-D119-K119-L119)))</f>
        <v>0</v>
      </c>
      <c r="O119" s="141"/>
    </row>
    <row r="120" spans="1:16" ht="15.75" thickBot="1">
      <c r="A120" s="776"/>
      <c r="B120" s="781" t="s">
        <v>324</v>
      </c>
      <c r="C120" s="782"/>
      <c r="D120" s="157">
        <f>+D118/12*D119</f>
        <v>0</v>
      </c>
      <c r="E120" s="157">
        <f t="shared" ref="E120:M120" si="9">+E118/12*E119</f>
        <v>0</v>
      </c>
      <c r="F120" s="157">
        <f t="shared" si="9"/>
        <v>0</v>
      </c>
      <c r="G120" s="157">
        <f t="shared" si="9"/>
        <v>0</v>
      </c>
      <c r="H120" s="157">
        <f t="shared" si="9"/>
        <v>0</v>
      </c>
      <c r="I120" s="157">
        <f t="shared" si="9"/>
        <v>0</v>
      </c>
      <c r="J120" s="157">
        <f t="shared" si="9"/>
        <v>0</v>
      </c>
      <c r="K120" s="157">
        <f t="shared" si="9"/>
        <v>0</v>
      </c>
      <c r="L120" s="157">
        <f t="shared" si="9"/>
        <v>0</v>
      </c>
      <c r="M120" s="157">
        <f t="shared" si="9"/>
        <v>0</v>
      </c>
      <c r="N120" s="158"/>
      <c r="O120" s="159"/>
    </row>
    <row r="121" spans="1:16">
      <c r="A121" s="774">
        <f>+'5.Equipments'!A13</f>
        <v>11</v>
      </c>
      <c r="B121" s="133">
        <f>IF('5.Equipments'!E13=0,0,'5.Equipments'!C13)</f>
        <v>0</v>
      </c>
      <c r="C121" s="134"/>
      <c r="D121" s="135">
        <v>3</v>
      </c>
      <c r="E121" s="135">
        <v>4</v>
      </c>
      <c r="F121" s="135">
        <v>5</v>
      </c>
      <c r="G121" s="135">
        <v>6</v>
      </c>
      <c r="H121" s="135">
        <v>7</v>
      </c>
      <c r="I121" s="135">
        <v>8</v>
      </c>
      <c r="J121" s="135">
        <v>9</v>
      </c>
      <c r="K121" s="135">
        <v>10</v>
      </c>
      <c r="L121" s="135">
        <v>11</v>
      </c>
      <c r="M121" s="135">
        <v>12</v>
      </c>
      <c r="N121" s="136" t="s">
        <v>299</v>
      </c>
      <c r="O121" s="137">
        <f>+O122/12</f>
        <v>0</v>
      </c>
    </row>
    <row r="122" spans="1:16">
      <c r="A122" s="775"/>
      <c r="B122" s="138" t="s">
        <v>302</v>
      </c>
      <c r="C122" s="139" t="s">
        <v>303</v>
      </c>
      <c r="D122" s="139" t="s">
        <v>304</v>
      </c>
      <c r="E122" s="139" t="s">
        <v>305</v>
      </c>
      <c r="F122" s="139" t="s">
        <v>306</v>
      </c>
      <c r="G122" s="139" t="s">
        <v>307</v>
      </c>
      <c r="H122" s="139" t="s">
        <v>308</v>
      </c>
      <c r="I122" s="139" t="s">
        <v>309</v>
      </c>
      <c r="J122" s="139" t="s">
        <v>310</v>
      </c>
      <c r="K122" s="139" t="s">
        <v>311</v>
      </c>
      <c r="L122" s="139" t="s">
        <v>312</v>
      </c>
      <c r="M122" s="139" t="s">
        <v>313</v>
      </c>
      <c r="N122" s="140" t="s">
        <v>314</v>
      </c>
      <c r="O122" s="141">
        <f>IFERROR(VLOOKUP(A121,Tabela8[[No.]:[Institution**]],4,0)*12,0)</f>
        <v>0</v>
      </c>
    </row>
    <row r="123" spans="1:16">
      <c r="A123" s="775"/>
      <c r="B123" s="138">
        <v>3</v>
      </c>
      <c r="C123" s="142">
        <v>0.5</v>
      </c>
      <c r="D123" s="143">
        <f>B121*C123</f>
        <v>0</v>
      </c>
      <c r="E123" s="143">
        <f>D123*C123</f>
        <v>0</v>
      </c>
      <c r="F123" s="143">
        <f>B121-D123-E123</f>
        <v>0</v>
      </c>
      <c r="G123" s="144"/>
      <c r="H123" s="144"/>
      <c r="I123" s="144"/>
      <c r="J123" s="144"/>
      <c r="K123" s="144"/>
      <c r="L123" s="144"/>
      <c r="M123" s="144"/>
      <c r="N123" s="145" t="s">
        <v>315</v>
      </c>
      <c r="O123" s="141">
        <f>+Info!B7</f>
        <v>36</v>
      </c>
    </row>
    <row r="124" spans="1:16">
      <c r="A124" s="775"/>
      <c r="B124" s="138">
        <v>4</v>
      </c>
      <c r="C124" s="142">
        <v>0.375</v>
      </c>
      <c r="D124" s="143">
        <f>B121*$C$4</f>
        <v>0</v>
      </c>
      <c r="E124" s="143">
        <f>(B121-D124)*C124</f>
        <v>0</v>
      </c>
      <c r="F124" s="143">
        <f>(+B121-D124-E124)/2</f>
        <v>0</v>
      </c>
      <c r="G124" s="143">
        <f>+F124</f>
        <v>0</v>
      </c>
      <c r="H124" s="144"/>
      <c r="I124" s="144"/>
      <c r="J124" s="144"/>
      <c r="K124" s="144"/>
      <c r="L124" s="144"/>
      <c r="M124" s="144"/>
      <c r="N124" s="145" t="s">
        <v>316</v>
      </c>
      <c r="O124" s="141" t="str">
        <f>VLOOKUP(A121,'5.Equipments'!$A$3:$E$22,5,0)</f>
        <v/>
      </c>
    </row>
    <row r="125" spans="1:16">
      <c r="A125" s="775"/>
      <c r="B125" s="138">
        <v>5</v>
      </c>
      <c r="C125" s="142">
        <v>0.4</v>
      </c>
      <c r="D125" s="143">
        <f>B121*$C$5</f>
        <v>0</v>
      </c>
      <c r="E125" s="143">
        <f>(B121-D125)*C125</f>
        <v>0</v>
      </c>
      <c r="F125" s="143">
        <f>(B121-D125-E125)*C125</f>
        <v>0</v>
      </c>
      <c r="G125" s="143">
        <f>(+B121-D125-E125-F125)/2</f>
        <v>0</v>
      </c>
      <c r="H125" s="143">
        <f>B121-D125-E125-F125-G125</f>
        <v>0</v>
      </c>
      <c r="I125" s="144"/>
      <c r="J125" s="144"/>
      <c r="K125" s="144"/>
      <c r="L125" s="144"/>
      <c r="M125" s="144"/>
      <c r="N125" t="s">
        <v>317</v>
      </c>
      <c r="O125" s="141" t="str">
        <f>+'5.Equipments'!F13</f>
        <v/>
      </c>
    </row>
    <row r="126" spans="1:16">
      <c r="A126" s="775"/>
      <c r="B126" s="138">
        <v>6</v>
      </c>
      <c r="C126" s="142">
        <v>0.33333333333333331</v>
      </c>
      <c r="D126" s="146">
        <f>B121*$C$6</f>
        <v>0</v>
      </c>
      <c r="E126" s="146">
        <f>(B121-D126)*C126</f>
        <v>0</v>
      </c>
      <c r="F126" s="146">
        <f>(B121-D126-E126)*C126</f>
        <v>0</v>
      </c>
      <c r="G126" s="146">
        <f>(B121-D126-E126-F126)*C126</f>
        <v>0</v>
      </c>
      <c r="H126" s="146">
        <f>(+B121-D126-E126-F126-G126)/2</f>
        <v>0</v>
      </c>
      <c r="I126" s="146">
        <f>B121-D126-E126-F126-G126-H126</f>
        <v>0</v>
      </c>
      <c r="J126" s="144"/>
      <c r="K126" s="144"/>
      <c r="L126" s="144"/>
      <c r="M126" s="144"/>
      <c r="N126" s="145" t="s">
        <v>318</v>
      </c>
      <c r="O126" s="147">
        <f>SUM(D132:M132)</f>
        <v>0</v>
      </c>
    </row>
    <row r="127" spans="1:16">
      <c r="A127" s="775"/>
      <c r="B127" s="138">
        <v>7</v>
      </c>
      <c r="C127" s="142">
        <v>0.3571428571428571</v>
      </c>
      <c r="D127" s="143">
        <f>B121*$C$7</f>
        <v>0</v>
      </c>
      <c r="E127" s="143">
        <f>(B121-D127)*C127</f>
        <v>0</v>
      </c>
      <c r="F127" s="143">
        <f>(B121-D127-E127)*C127</f>
        <v>0</v>
      </c>
      <c r="G127" s="143">
        <f>(B121-D127-E127-F127)*C127</f>
        <v>0</v>
      </c>
      <c r="H127" s="143">
        <f>(B121-D127-E127-F127-G127)*C127</f>
        <v>0</v>
      </c>
      <c r="I127" s="143">
        <f>(+B121-D127-E127-F127-G127-H127)/2</f>
        <v>0</v>
      </c>
      <c r="J127" s="143">
        <f>B121-D127-E127-F127-G127-H127-I127</f>
        <v>0</v>
      </c>
      <c r="K127" s="144"/>
      <c r="L127" s="144"/>
      <c r="M127" s="144"/>
      <c r="N127" s="149" t="s">
        <v>320</v>
      </c>
      <c r="O127" s="150">
        <f>(B121-O126)*1.23</f>
        <v>0</v>
      </c>
      <c r="P127" s="148" t="s">
        <v>321</v>
      </c>
    </row>
    <row r="128" spans="1:16">
      <c r="A128" s="775"/>
      <c r="B128" s="138">
        <v>8</v>
      </c>
      <c r="C128" s="142">
        <v>0.3125</v>
      </c>
      <c r="D128" s="143">
        <f>B121*$C$8</f>
        <v>0</v>
      </c>
      <c r="E128" s="143">
        <f>(B121-D128)*C128</f>
        <v>0</v>
      </c>
      <c r="F128" s="143">
        <f>(B121-D128-E128)*C128</f>
        <v>0</v>
      </c>
      <c r="G128" s="143">
        <f>(B121-D128-E128-F128)*C128</f>
        <v>0</v>
      </c>
      <c r="H128" s="143">
        <f>(B121-D128-E128-F128-G128)*C128</f>
        <v>0</v>
      </c>
      <c r="I128" s="143">
        <f>+(B121-D128-E128-F128-G128-H128)/3</f>
        <v>0</v>
      </c>
      <c r="J128" s="143">
        <f>+I128</f>
        <v>0</v>
      </c>
      <c r="K128" s="143">
        <f>+J128</f>
        <v>0</v>
      </c>
      <c r="L128" s="144"/>
      <c r="M128" s="144"/>
      <c r="O128" s="141"/>
    </row>
    <row r="129" spans="1:16">
      <c r="A129" s="775"/>
      <c r="B129" s="151">
        <v>10</v>
      </c>
      <c r="C129" s="152">
        <v>0.25</v>
      </c>
      <c r="D129" s="153">
        <f>B121*$C$9</f>
        <v>0</v>
      </c>
      <c r="E129" s="153">
        <f>(B121-D129)*C129</f>
        <v>0</v>
      </c>
      <c r="F129" s="153">
        <f>(B121-D129-E129)*C129</f>
        <v>0</v>
      </c>
      <c r="G129" s="153">
        <f>(B121-D129-E129-F129)*C129</f>
        <v>0</v>
      </c>
      <c r="H129" s="153">
        <f>(B121-D129-E129-F129-G129)*C129</f>
        <v>0</v>
      </c>
      <c r="I129" s="153">
        <f>+(B121-D129-E129-F129-G129-H129)/5</f>
        <v>0</v>
      </c>
      <c r="J129" s="153">
        <f>+I129</f>
        <v>0</v>
      </c>
      <c r="K129" s="153">
        <f>+J129</f>
        <v>0</v>
      </c>
      <c r="L129" s="153">
        <f>+K129</f>
        <v>0</v>
      </c>
      <c r="M129" s="154">
        <f>+L129</f>
        <v>0</v>
      </c>
      <c r="O129" s="141"/>
    </row>
    <row r="130" spans="1:16">
      <c r="A130" s="775"/>
      <c r="B130" s="777" t="s">
        <v>322</v>
      </c>
      <c r="C130" s="778"/>
      <c r="D130" s="155">
        <f>IF(O121=0,0,IF(O121=1,(D123+E123+F123),VLOOKUP($O121,$B123:$M129,D$1,0)))</f>
        <v>0</v>
      </c>
      <c r="E130" s="155">
        <f>IF(O121=0,0,IF(O121=1,0,VLOOKUP($O121,$B123:$M129,E$1,0)))</f>
        <v>0</v>
      </c>
      <c r="F130" s="155">
        <f>IF(O121=0,0,IF(O121=1,0,VLOOKUP($O121,$B123:$M129,F$1,0)))</f>
        <v>0</v>
      </c>
      <c r="G130" s="155">
        <f>IF(O121=0,0,IF(O121=1,0,VLOOKUP($O121,$B123:$M129,G$1,0)))</f>
        <v>0</v>
      </c>
      <c r="H130" s="155">
        <f>IF(O121=0,0,IF(O121=1,0,VLOOKUP($O121,$B123:$M129,H$1,0)))</f>
        <v>0</v>
      </c>
      <c r="I130" s="155">
        <f>IF(O121=0,0,IF(O121=1,0,VLOOKUP($O121,$B123:$M129,I$1,0)))</f>
        <v>0</v>
      </c>
      <c r="J130" s="155">
        <f>IF(O121=0,0,IF(O121=1,0,VLOOKUP($O121,$B123:$M129,J$1,0)))</f>
        <v>0</v>
      </c>
      <c r="K130" s="155">
        <f>IF(O121=0,0,IF(O121=1,0,VLOOKUP($O121,$B123:$M129,K$1,0)))</f>
        <v>0</v>
      </c>
      <c r="L130" s="155">
        <f>IF(O121=0,0,IF(O121=1,0,VLOOKUP($O121,$B123:$M129,L$1,0)))</f>
        <v>0</v>
      </c>
      <c r="M130" s="155">
        <f>IF(O121=0,0,IF(O121=1,0,VLOOKUP($O121,$B123:$M129,M$1,0)))</f>
        <v>0</v>
      </c>
      <c r="O130" s="141"/>
    </row>
    <row r="131" spans="1:16">
      <c r="A131" s="775"/>
      <c r="B131" s="779" t="s">
        <v>323</v>
      </c>
      <c r="C131" s="780"/>
      <c r="D131" s="156">
        <f>IF(O121=0,0,IF(O125&gt;12,12,O125))</f>
        <v>0</v>
      </c>
      <c r="E131" s="156">
        <f>IF(O121=0,0,IF((O125-D131)&gt;12,12,(O125-D131)))</f>
        <v>0</v>
      </c>
      <c r="F131" s="156">
        <f>IF(O121=0,0,IF((O125-E131-D131)&gt;12,12,(O125-D131-E131)))</f>
        <v>0</v>
      </c>
      <c r="G131" s="156">
        <f>IF(O121=0,0,IF((O125-F131-E131-D131)&gt;12,12,(O125-E131-F131-D131)))</f>
        <v>0</v>
      </c>
      <c r="H131" s="156">
        <f>IF(O121=0,0,IF((O125-G131-F131-E131-D131)&gt;12,12,(O125-F131-G131-E131-D131)))</f>
        <v>0</v>
      </c>
      <c r="I131" s="156">
        <f>IF(O121=0,0,IF((O125-H131-G131-F131-E131-D131)&gt;12,12,(O125-G131-H131-F131-E131-D131)))</f>
        <v>0</v>
      </c>
      <c r="J131" s="156">
        <f>IF(O121=0,0,IF((O125-I131-H131-G131-F131-E131-D131)&gt;12,12,(O125-H131-I131-G131-F131-E131-D131)))</f>
        <v>0</v>
      </c>
      <c r="K131" s="156">
        <f>IF(O121=0,0,IF((O125-J131-I131-H131-G131-F131-E131-D131)&gt;12,12,(O125-I131-J131-H131-G131-F131-E131-D131)))</f>
        <v>0</v>
      </c>
      <c r="L131" s="156">
        <f>IF(O121=0,0,IF((O125-J131-I131-H131-G131-F131-E131-D131)&gt;12,12,(O125-I131-J131-H131-G131-F131-E131-D131-K131)))</f>
        <v>0</v>
      </c>
      <c r="M131" s="156">
        <f>IF(O121=0,0,IF((O125-J131-I131-H131-G131-F131-E131-D131)&gt;12,12,(O125-I131-J131-H131-G131-F131-E131-D131-K131-L131)))</f>
        <v>0</v>
      </c>
      <c r="O131" s="141"/>
    </row>
    <row r="132" spans="1:16" ht="15.75" thickBot="1">
      <c r="A132" s="776"/>
      <c r="B132" s="781" t="s">
        <v>324</v>
      </c>
      <c r="C132" s="782"/>
      <c r="D132" s="157">
        <f>+D130/12*D131</f>
        <v>0</v>
      </c>
      <c r="E132" s="157">
        <f t="shared" ref="E132:M132" si="10">+E130/12*E131</f>
        <v>0</v>
      </c>
      <c r="F132" s="157">
        <f t="shared" si="10"/>
        <v>0</v>
      </c>
      <c r="G132" s="157">
        <f t="shared" si="10"/>
        <v>0</v>
      </c>
      <c r="H132" s="157">
        <f t="shared" si="10"/>
        <v>0</v>
      </c>
      <c r="I132" s="157">
        <f t="shared" si="10"/>
        <v>0</v>
      </c>
      <c r="J132" s="157">
        <f t="shared" si="10"/>
        <v>0</v>
      </c>
      <c r="K132" s="157">
        <f t="shared" si="10"/>
        <v>0</v>
      </c>
      <c r="L132" s="157">
        <f t="shared" si="10"/>
        <v>0</v>
      </c>
      <c r="M132" s="157">
        <f t="shared" si="10"/>
        <v>0</v>
      </c>
      <c r="N132" s="158"/>
      <c r="O132" s="159"/>
    </row>
    <row r="133" spans="1:16">
      <c r="A133" s="774">
        <f>+'5.Equipments'!A14</f>
        <v>12</v>
      </c>
      <c r="B133" s="133">
        <f>IF('5.Equipments'!E14=0,0,'5.Equipments'!C14)</f>
        <v>0</v>
      </c>
      <c r="C133" s="134"/>
      <c r="D133" s="135">
        <v>3</v>
      </c>
      <c r="E133" s="135">
        <v>4</v>
      </c>
      <c r="F133" s="135">
        <v>5</v>
      </c>
      <c r="G133" s="135">
        <v>6</v>
      </c>
      <c r="H133" s="135">
        <v>7</v>
      </c>
      <c r="I133" s="135">
        <v>8</v>
      </c>
      <c r="J133" s="135">
        <v>9</v>
      </c>
      <c r="K133" s="135">
        <v>10</v>
      </c>
      <c r="L133" s="135">
        <v>11</v>
      </c>
      <c r="M133" s="135">
        <v>12</v>
      </c>
      <c r="N133" s="136" t="s">
        <v>299</v>
      </c>
      <c r="O133" s="137">
        <f>+O134/12</f>
        <v>0</v>
      </c>
    </row>
    <row r="134" spans="1:16">
      <c r="A134" s="775"/>
      <c r="B134" s="138" t="s">
        <v>302</v>
      </c>
      <c r="C134" s="139" t="s">
        <v>303</v>
      </c>
      <c r="D134" s="139" t="s">
        <v>304</v>
      </c>
      <c r="E134" s="139" t="s">
        <v>305</v>
      </c>
      <c r="F134" s="139" t="s">
        <v>306</v>
      </c>
      <c r="G134" s="139" t="s">
        <v>307</v>
      </c>
      <c r="H134" s="139" t="s">
        <v>308</v>
      </c>
      <c r="I134" s="139" t="s">
        <v>309</v>
      </c>
      <c r="J134" s="139" t="s">
        <v>310</v>
      </c>
      <c r="K134" s="139" t="s">
        <v>311</v>
      </c>
      <c r="L134" s="139" t="s">
        <v>312</v>
      </c>
      <c r="M134" s="139" t="s">
        <v>313</v>
      </c>
      <c r="N134" s="140" t="s">
        <v>314</v>
      </c>
      <c r="O134" s="141">
        <f>IFERROR(VLOOKUP(A133,Tabela8[[No.]:[Institution**]],4,0)*12,0)</f>
        <v>0</v>
      </c>
    </row>
    <row r="135" spans="1:16">
      <c r="A135" s="775"/>
      <c r="B135" s="138">
        <v>3</v>
      </c>
      <c r="C135" s="142">
        <v>0.5</v>
      </c>
      <c r="D135" s="143">
        <f>B133*C135</f>
        <v>0</v>
      </c>
      <c r="E135" s="143">
        <f>D135*C135</f>
        <v>0</v>
      </c>
      <c r="F135" s="143">
        <f>B133-D135-E135</f>
        <v>0</v>
      </c>
      <c r="G135" s="144"/>
      <c r="H135" s="144"/>
      <c r="I135" s="144"/>
      <c r="J135" s="144"/>
      <c r="K135" s="144"/>
      <c r="L135" s="144"/>
      <c r="M135" s="144"/>
      <c r="N135" s="145" t="s">
        <v>315</v>
      </c>
      <c r="O135" s="141">
        <f>+Info!B7</f>
        <v>36</v>
      </c>
    </row>
    <row r="136" spans="1:16">
      <c r="A136" s="775"/>
      <c r="B136" s="138">
        <v>4</v>
      </c>
      <c r="C136" s="142">
        <v>0.375</v>
      </c>
      <c r="D136" s="143">
        <f>B133*$C$4</f>
        <v>0</v>
      </c>
      <c r="E136" s="143">
        <f>(B133-D136)*C136</f>
        <v>0</v>
      </c>
      <c r="F136" s="143">
        <f>(+B133-D136-E136)/2</f>
        <v>0</v>
      </c>
      <c r="G136" s="143">
        <f>+F136</f>
        <v>0</v>
      </c>
      <c r="H136" s="144"/>
      <c r="I136" s="144"/>
      <c r="J136" s="144"/>
      <c r="K136" s="144"/>
      <c r="L136" s="144"/>
      <c r="M136" s="144"/>
      <c r="N136" s="145" t="s">
        <v>316</v>
      </c>
      <c r="O136" s="141" t="str">
        <f>VLOOKUP(A133,'5.Equipments'!$A$3:$E$22,5,0)</f>
        <v/>
      </c>
    </row>
    <row r="137" spans="1:16">
      <c r="A137" s="775"/>
      <c r="B137" s="138">
        <v>5</v>
      </c>
      <c r="C137" s="142">
        <v>0.4</v>
      </c>
      <c r="D137" s="143">
        <f>B133*$C$5</f>
        <v>0</v>
      </c>
      <c r="E137" s="143">
        <f>(B133-D137)*C137</f>
        <v>0</v>
      </c>
      <c r="F137" s="143">
        <f>(B133-D137-E137)*C137</f>
        <v>0</v>
      </c>
      <c r="G137" s="143">
        <f>(+B133-D137-E137-F137)/2</f>
        <v>0</v>
      </c>
      <c r="H137" s="143">
        <f>B133-D137-E137-F137-G137</f>
        <v>0</v>
      </c>
      <c r="I137" s="144"/>
      <c r="J137" s="144"/>
      <c r="K137" s="144"/>
      <c r="L137" s="144"/>
      <c r="M137" s="144"/>
      <c r="N137" t="s">
        <v>317</v>
      </c>
      <c r="O137" s="141" t="str">
        <f>+'5.Equipments'!F14</f>
        <v/>
      </c>
    </row>
    <row r="138" spans="1:16">
      <c r="A138" s="775"/>
      <c r="B138" s="138">
        <v>6</v>
      </c>
      <c r="C138" s="142">
        <v>0.33333333333333331</v>
      </c>
      <c r="D138" s="146">
        <f>B133*$C$6</f>
        <v>0</v>
      </c>
      <c r="E138" s="146">
        <f>(B133-D138)*C138</f>
        <v>0</v>
      </c>
      <c r="F138" s="146">
        <f>(B133-D138-E138)*C138</f>
        <v>0</v>
      </c>
      <c r="G138" s="146">
        <f>(B133-D138-E138-F138)*C138</f>
        <v>0</v>
      </c>
      <c r="H138" s="146">
        <f>(+B133-D138-E138-F138-G138)/2</f>
        <v>0</v>
      </c>
      <c r="I138" s="146">
        <f>B133-D138-E138-F138-G138-H138</f>
        <v>0</v>
      </c>
      <c r="J138" s="144"/>
      <c r="K138" s="144"/>
      <c r="L138" s="144"/>
      <c r="M138" s="144"/>
      <c r="N138" s="145" t="s">
        <v>318</v>
      </c>
      <c r="O138" s="147">
        <f>SUM(D144:M144)</f>
        <v>0</v>
      </c>
    </row>
    <row r="139" spans="1:16">
      <c r="A139" s="775"/>
      <c r="B139" s="138">
        <v>7</v>
      </c>
      <c r="C139" s="142">
        <v>0.3571428571428571</v>
      </c>
      <c r="D139" s="143">
        <f>B133*$C$7</f>
        <v>0</v>
      </c>
      <c r="E139" s="143">
        <f>(B133-D139)*C139</f>
        <v>0</v>
      </c>
      <c r="F139" s="143">
        <f>(B133-D139-E139)*C139</f>
        <v>0</v>
      </c>
      <c r="G139" s="143">
        <f>(B133-D139-E139-F139)*C139</f>
        <v>0</v>
      </c>
      <c r="H139" s="143">
        <f>(B133-D139-E139-F139-G139)*C139</f>
        <v>0</v>
      </c>
      <c r="I139" s="143">
        <f>(+B133-D139-E139-F139-G139-H139)/2</f>
        <v>0</v>
      </c>
      <c r="J139" s="143">
        <f>B133-D139-E139-F139-G139-H139-I139</f>
        <v>0</v>
      </c>
      <c r="K139" s="144"/>
      <c r="L139" s="144"/>
      <c r="M139" s="144"/>
      <c r="N139" s="149" t="s">
        <v>320</v>
      </c>
      <c r="O139" s="150">
        <f>(B133-O138)*1.23</f>
        <v>0</v>
      </c>
      <c r="P139" s="148" t="s">
        <v>321</v>
      </c>
    </row>
    <row r="140" spans="1:16">
      <c r="A140" s="775"/>
      <c r="B140" s="138">
        <v>8</v>
      </c>
      <c r="C140" s="142">
        <v>0.3125</v>
      </c>
      <c r="D140" s="143">
        <f>B133*$C$8</f>
        <v>0</v>
      </c>
      <c r="E140" s="143">
        <f>(B133-D140)*C140</f>
        <v>0</v>
      </c>
      <c r="F140" s="143">
        <f>(B133-D140-E140)*C140</f>
        <v>0</v>
      </c>
      <c r="G140" s="143">
        <f>(B133-D140-E140-F140)*C140</f>
        <v>0</v>
      </c>
      <c r="H140" s="143">
        <f>(B133-D140-E140-F140-G140)*C140</f>
        <v>0</v>
      </c>
      <c r="I140" s="143">
        <f>+(B133-D140-E140-F140-G140-H140)/3</f>
        <v>0</v>
      </c>
      <c r="J140" s="143">
        <f>+I140</f>
        <v>0</v>
      </c>
      <c r="K140" s="143">
        <f>+J140</f>
        <v>0</v>
      </c>
      <c r="L140" s="144"/>
      <c r="M140" s="144"/>
      <c r="O140" s="141"/>
    </row>
    <row r="141" spans="1:16">
      <c r="A141" s="775"/>
      <c r="B141" s="151">
        <v>10</v>
      </c>
      <c r="C141" s="152">
        <v>0.25</v>
      </c>
      <c r="D141" s="153">
        <f>B133*$C$9</f>
        <v>0</v>
      </c>
      <c r="E141" s="153">
        <f>(B133-D141)*C141</f>
        <v>0</v>
      </c>
      <c r="F141" s="153">
        <f>(B133-D141-E141)*C141</f>
        <v>0</v>
      </c>
      <c r="G141" s="153">
        <f>(B133-D141-E141-F141)*C141</f>
        <v>0</v>
      </c>
      <c r="H141" s="153">
        <f>(B133-D141-E141-F141-G141)*C141</f>
        <v>0</v>
      </c>
      <c r="I141" s="153">
        <f>+(B133-D141-E141-F141-G141-H141)/5</f>
        <v>0</v>
      </c>
      <c r="J141" s="153">
        <f>+I141</f>
        <v>0</v>
      </c>
      <c r="K141" s="153">
        <f>+J141</f>
        <v>0</v>
      </c>
      <c r="L141" s="153">
        <f>+K141</f>
        <v>0</v>
      </c>
      <c r="M141" s="154">
        <f>+L141</f>
        <v>0</v>
      </c>
      <c r="O141" s="141"/>
    </row>
    <row r="142" spans="1:16">
      <c r="A142" s="775"/>
      <c r="B142" s="777" t="s">
        <v>322</v>
      </c>
      <c r="C142" s="778"/>
      <c r="D142" s="155">
        <f>IF(O133=0,0,IF(O133=1,(D135+E135+F135),VLOOKUP($O133,$B135:$M141,D$1,0)))</f>
        <v>0</v>
      </c>
      <c r="E142" s="155">
        <f>IF(O133=0,0,IF(O133=1,0,VLOOKUP($O133,$B135:$M141,E$1,0)))</f>
        <v>0</v>
      </c>
      <c r="F142" s="155">
        <f>IF(O133=0,0,IF(O133=1,0,VLOOKUP($O133,$B135:$M141,F$1,0)))</f>
        <v>0</v>
      </c>
      <c r="G142" s="155">
        <f>IF(O133=0,0,IF(O133=1,0,VLOOKUP($O133,$B135:$M141,G$1,0)))</f>
        <v>0</v>
      </c>
      <c r="H142" s="155">
        <f>IF(O133=0,0,IF(O133=1,0,VLOOKUP($O133,$B135:$M141,H$1,0)))</f>
        <v>0</v>
      </c>
      <c r="I142" s="155">
        <f>IF(O133=0,0,IF(O133=1,0,VLOOKUP($O133,$B135:$M141,I$1,0)))</f>
        <v>0</v>
      </c>
      <c r="J142" s="155">
        <f>IF(O133=0,0,IF(O133=1,0,VLOOKUP($O133,$B135:$M141,J$1,0)))</f>
        <v>0</v>
      </c>
      <c r="K142" s="155">
        <f>IF(O133=0,0,IF(O133=1,0,VLOOKUP($O133,$B135:$M141,K$1,0)))</f>
        <v>0</v>
      </c>
      <c r="L142" s="155">
        <f>IF(O133=0,0,IF(O133=1,0,VLOOKUP($O133,$B135:$M141,L$1,0)))</f>
        <v>0</v>
      </c>
      <c r="M142" s="155">
        <f>IF(O133=0,0,IF(O133=1,0,VLOOKUP($O133,$B135:$M141,M$1,0)))</f>
        <v>0</v>
      </c>
      <c r="O142" s="141"/>
    </row>
    <row r="143" spans="1:16">
      <c r="A143" s="775"/>
      <c r="B143" s="779" t="s">
        <v>323</v>
      </c>
      <c r="C143" s="780"/>
      <c r="D143" s="156">
        <f>IF(O133=0,0,IF(O137&gt;12,12,O137))</f>
        <v>0</v>
      </c>
      <c r="E143" s="156">
        <f>IF(O133=0,0,IF((O137-D143)&gt;12,12,(O137-D143)))</f>
        <v>0</v>
      </c>
      <c r="F143" s="156">
        <f>IF(O133=0,0,IF((O137-E143-D143)&gt;12,12,(O137-D143-E143)))</f>
        <v>0</v>
      </c>
      <c r="G143" s="156">
        <f>IF(O133=0,0,IF((O137-F143-E143-D143)&gt;12,12,(O137-E143-F143-D143)))</f>
        <v>0</v>
      </c>
      <c r="H143" s="156">
        <f>IF(O133=0,0,IF((O137-G143-F143-E143-D143)&gt;12,12,(O137-F143-G143-E143-D143)))</f>
        <v>0</v>
      </c>
      <c r="I143" s="156">
        <f>IF(O133=0,0,IF((O137-H143-G143-F143-E143-D143)&gt;12,12,(O137-G143-H143-F143-E143-D143)))</f>
        <v>0</v>
      </c>
      <c r="J143" s="156">
        <f>IF(O133=0,0,IF((O137-I143-H143-G143-F143-E143-D143)&gt;12,12,(O137-H143-I143-G143-F143-E143-D143)))</f>
        <v>0</v>
      </c>
      <c r="K143" s="156">
        <f>IF(O133=0,0,IF((O137-J143-I143-H143-G143-F143-E143-D143)&gt;12,12,(O137-I143-J143-H143-G143-F143-E143-D143)))</f>
        <v>0</v>
      </c>
      <c r="L143" s="156">
        <f>IF(O133=0,0,IF((O137-J143-I143-H143-G143-F143-E143-D143)&gt;12,12,(O137-I143-J143-H143-G143-F143-E143-D143-K143)))</f>
        <v>0</v>
      </c>
      <c r="M143" s="156">
        <f>IF(O133=0,0,IF((O137-J143-I143-H143-G143-F143-E143-D143)&gt;12,12,(O137-I143-J143-H143-G143-F143-E143-D143-K143-L143)))</f>
        <v>0</v>
      </c>
      <c r="O143" s="141"/>
    </row>
    <row r="144" spans="1:16" ht="15.75" thickBot="1">
      <c r="A144" s="776"/>
      <c r="B144" s="781" t="s">
        <v>324</v>
      </c>
      <c r="C144" s="782"/>
      <c r="D144" s="157">
        <f>+D142/12*D143</f>
        <v>0</v>
      </c>
      <c r="E144" s="157">
        <f t="shared" ref="E144:M144" si="11">+E142/12*E143</f>
        <v>0</v>
      </c>
      <c r="F144" s="157">
        <f t="shared" si="11"/>
        <v>0</v>
      </c>
      <c r="G144" s="157">
        <f t="shared" si="11"/>
        <v>0</v>
      </c>
      <c r="H144" s="157">
        <f t="shared" si="11"/>
        <v>0</v>
      </c>
      <c r="I144" s="157">
        <f t="shared" si="11"/>
        <v>0</v>
      </c>
      <c r="J144" s="157">
        <f t="shared" si="11"/>
        <v>0</v>
      </c>
      <c r="K144" s="157">
        <f t="shared" si="11"/>
        <v>0</v>
      </c>
      <c r="L144" s="157">
        <f t="shared" si="11"/>
        <v>0</v>
      </c>
      <c r="M144" s="157">
        <f t="shared" si="11"/>
        <v>0</v>
      </c>
      <c r="N144" s="158"/>
      <c r="O144" s="159"/>
    </row>
    <row r="145" spans="1:16">
      <c r="A145" s="774">
        <f>+'5.Equipments'!A15</f>
        <v>13</v>
      </c>
      <c r="B145" s="133">
        <f>IF('5.Equipments'!E15=0,0,'5.Equipments'!C15)</f>
        <v>0</v>
      </c>
      <c r="C145" s="134"/>
      <c r="D145" s="135">
        <v>3</v>
      </c>
      <c r="E145" s="135">
        <v>4</v>
      </c>
      <c r="F145" s="135">
        <v>5</v>
      </c>
      <c r="G145" s="135">
        <v>6</v>
      </c>
      <c r="H145" s="135">
        <v>7</v>
      </c>
      <c r="I145" s="135">
        <v>8</v>
      </c>
      <c r="J145" s="135">
        <v>9</v>
      </c>
      <c r="K145" s="135">
        <v>10</v>
      </c>
      <c r="L145" s="135">
        <v>11</v>
      </c>
      <c r="M145" s="135">
        <v>12</v>
      </c>
      <c r="N145" s="136" t="s">
        <v>299</v>
      </c>
      <c r="O145" s="137">
        <f>+O146/12</f>
        <v>0</v>
      </c>
    </row>
    <row r="146" spans="1:16">
      <c r="A146" s="775"/>
      <c r="B146" s="138" t="s">
        <v>302</v>
      </c>
      <c r="C146" s="139" t="s">
        <v>303</v>
      </c>
      <c r="D146" s="139" t="s">
        <v>304</v>
      </c>
      <c r="E146" s="139" t="s">
        <v>305</v>
      </c>
      <c r="F146" s="139" t="s">
        <v>306</v>
      </c>
      <c r="G146" s="139" t="s">
        <v>307</v>
      </c>
      <c r="H146" s="139" t="s">
        <v>308</v>
      </c>
      <c r="I146" s="139" t="s">
        <v>309</v>
      </c>
      <c r="J146" s="139" t="s">
        <v>310</v>
      </c>
      <c r="K146" s="139" t="s">
        <v>311</v>
      </c>
      <c r="L146" s="139" t="s">
        <v>312</v>
      </c>
      <c r="M146" s="139" t="s">
        <v>313</v>
      </c>
      <c r="N146" s="140" t="s">
        <v>314</v>
      </c>
      <c r="O146" s="141">
        <f>IFERROR(VLOOKUP(A145,Tabela8[[No.]:[Institution**]],4,0)*12,0)</f>
        <v>0</v>
      </c>
    </row>
    <row r="147" spans="1:16">
      <c r="A147" s="775"/>
      <c r="B147" s="138">
        <v>3</v>
      </c>
      <c r="C147" s="142">
        <v>0.5</v>
      </c>
      <c r="D147" s="143">
        <f>B145*C147</f>
        <v>0</v>
      </c>
      <c r="E147" s="143">
        <f>D147*C147</f>
        <v>0</v>
      </c>
      <c r="F147" s="143">
        <f>B145-D147-E147</f>
        <v>0</v>
      </c>
      <c r="G147" s="144"/>
      <c r="H147" s="144"/>
      <c r="I147" s="144"/>
      <c r="J147" s="144"/>
      <c r="K147" s="144"/>
      <c r="L147" s="144"/>
      <c r="M147" s="144"/>
      <c r="N147" s="145" t="s">
        <v>315</v>
      </c>
      <c r="O147" s="141">
        <f>+Info!B7</f>
        <v>36</v>
      </c>
    </row>
    <row r="148" spans="1:16">
      <c r="A148" s="775"/>
      <c r="B148" s="138">
        <v>4</v>
      </c>
      <c r="C148" s="142">
        <v>0.375</v>
      </c>
      <c r="D148" s="143">
        <f>B145*$C$4</f>
        <v>0</v>
      </c>
      <c r="E148" s="143">
        <f>(B145-D148)*C148</f>
        <v>0</v>
      </c>
      <c r="F148" s="143">
        <f>(+B145-D148-E148)/2</f>
        <v>0</v>
      </c>
      <c r="G148" s="143">
        <f>+F148</f>
        <v>0</v>
      </c>
      <c r="H148" s="144"/>
      <c r="I148" s="144"/>
      <c r="J148" s="144"/>
      <c r="K148" s="144"/>
      <c r="L148" s="144"/>
      <c r="M148" s="144"/>
      <c r="N148" s="145" t="s">
        <v>316</v>
      </c>
      <c r="O148" s="141" t="str">
        <f>VLOOKUP(A145,'5.Equipments'!$A$3:$E$22,5,0)</f>
        <v/>
      </c>
    </row>
    <row r="149" spans="1:16">
      <c r="A149" s="775"/>
      <c r="B149" s="138">
        <v>5</v>
      </c>
      <c r="C149" s="142">
        <v>0.4</v>
      </c>
      <c r="D149" s="143">
        <f>B145*$C$5</f>
        <v>0</v>
      </c>
      <c r="E149" s="143">
        <f>(B145-D149)*C149</f>
        <v>0</v>
      </c>
      <c r="F149" s="143">
        <f>(B145-D149-E149)*C149</f>
        <v>0</v>
      </c>
      <c r="G149" s="143">
        <f>(+B145-D149-E149-F149)/2</f>
        <v>0</v>
      </c>
      <c r="H149" s="143">
        <f>B145-D149-E149-F149-G149</f>
        <v>0</v>
      </c>
      <c r="I149" s="144"/>
      <c r="J149" s="144"/>
      <c r="K149" s="144"/>
      <c r="L149" s="144"/>
      <c r="M149" s="144"/>
      <c r="N149" t="s">
        <v>317</v>
      </c>
      <c r="O149" s="141">
        <f>+'5.Equipments'!F15</f>
        <v>0</v>
      </c>
    </row>
    <row r="150" spans="1:16">
      <c r="A150" s="775"/>
      <c r="B150" s="138">
        <v>6</v>
      </c>
      <c r="C150" s="142">
        <v>0.33333333333333331</v>
      </c>
      <c r="D150" s="146">
        <f>B145*$C$6</f>
        <v>0</v>
      </c>
      <c r="E150" s="146">
        <f>(B145-D150)*C150</f>
        <v>0</v>
      </c>
      <c r="F150" s="146">
        <f>(B145-D150-E150)*C150</f>
        <v>0</v>
      </c>
      <c r="G150" s="146">
        <f>(B145-D150-E150-F150)*C150</f>
        <v>0</v>
      </c>
      <c r="H150" s="146">
        <f>(+B145-D150-E150-F150-G150)/2</f>
        <v>0</v>
      </c>
      <c r="I150" s="146">
        <f>B145-D150-E150-F150-G150-H150</f>
        <v>0</v>
      </c>
      <c r="J150" s="144"/>
      <c r="K150" s="144"/>
      <c r="L150" s="144"/>
      <c r="M150" s="144"/>
      <c r="N150" s="145" t="s">
        <v>318</v>
      </c>
      <c r="O150" s="147">
        <f>SUM(D156:M156)</f>
        <v>0</v>
      </c>
    </row>
    <row r="151" spans="1:16">
      <c r="A151" s="775"/>
      <c r="B151" s="138">
        <v>7</v>
      </c>
      <c r="C151" s="142">
        <v>0.3571428571428571</v>
      </c>
      <c r="D151" s="143">
        <f>B145*$C$7</f>
        <v>0</v>
      </c>
      <c r="E151" s="143">
        <f>(B145-D151)*C151</f>
        <v>0</v>
      </c>
      <c r="F151" s="143">
        <f>(B145-D151-E151)*C151</f>
        <v>0</v>
      </c>
      <c r="G151" s="143">
        <f>(B145-D151-E151-F151)*C151</f>
        <v>0</v>
      </c>
      <c r="H151" s="143">
        <f>(B145-D151-E151-F151-G151)*C151</f>
        <v>0</v>
      </c>
      <c r="I151" s="143">
        <f>(+B145-D151-E151-F151-G151-H151)/2</f>
        <v>0</v>
      </c>
      <c r="J151" s="143">
        <f>B145-D151-E151-F151-G151-H151-I151</f>
        <v>0</v>
      </c>
      <c r="K151" s="144"/>
      <c r="L151" s="144"/>
      <c r="M151" s="144"/>
      <c r="N151" s="149" t="s">
        <v>320</v>
      </c>
      <c r="O151" s="150">
        <f>(B145-O150)*1.23</f>
        <v>0</v>
      </c>
      <c r="P151" s="148" t="s">
        <v>321</v>
      </c>
    </row>
    <row r="152" spans="1:16">
      <c r="A152" s="775"/>
      <c r="B152" s="138">
        <v>8</v>
      </c>
      <c r="C152" s="142">
        <v>0.3125</v>
      </c>
      <c r="D152" s="143">
        <f>B145*$C$8</f>
        <v>0</v>
      </c>
      <c r="E152" s="143">
        <f>(B145-D152)*C152</f>
        <v>0</v>
      </c>
      <c r="F152" s="143">
        <f>(B145-D152-E152)*C152</f>
        <v>0</v>
      </c>
      <c r="G152" s="143">
        <f>(B145-D152-E152-F152)*C152</f>
        <v>0</v>
      </c>
      <c r="H152" s="143">
        <f>(B145-D152-E152-F152-G152)*C152</f>
        <v>0</v>
      </c>
      <c r="I152" s="143">
        <f>+(B145-D152-E152-F152-G152-H152)/3</f>
        <v>0</v>
      </c>
      <c r="J152" s="143">
        <f>+I152</f>
        <v>0</v>
      </c>
      <c r="K152" s="143">
        <f>+J152</f>
        <v>0</v>
      </c>
      <c r="L152" s="144"/>
      <c r="M152" s="144"/>
      <c r="O152" s="141"/>
    </row>
    <row r="153" spans="1:16">
      <c r="A153" s="775"/>
      <c r="B153" s="151">
        <v>10</v>
      </c>
      <c r="C153" s="152">
        <v>0.25</v>
      </c>
      <c r="D153" s="153">
        <f>B145*$C$9</f>
        <v>0</v>
      </c>
      <c r="E153" s="153">
        <f>(B145-D153)*C153</f>
        <v>0</v>
      </c>
      <c r="F153" s="153">
        <f>(B145-D153-E153)*C153</f>
        <v>0</v>
      </c>
      <c r="G153" s="153">
        <f>(B145-D153-E153-F153)*C153</f>
        <v>0</v>
      </c>
      <c r="H153" s="153">
        <f>(B145-D153-E153-F153-G153)*C153</f>
        <v>0</v>
      </c>
      <c r="I153" s="153">
        <f>+(B145-D153-E153-F153-G153-H153)/5</f>
        <v>0</v>
      </c>
      <c r="J153" s="153">
        <f>+I153</f>
        <v>0</v>
      </c>
      <c r="K153" s="153">
        <f>+J153</f>
        <v>0</v>
      </c>
      <c r="L153" s="153">
        <f>+K153</f>
        <v>0</v>
      </c>
      <c r="M153" s="154">
        <f>+L153</f>
        <v>0</v>
      </c>
      <c r="O153" s="141"/>
    </row>
    <row r="154" spans="1:16">
      <c r="A154" s="775"/>
      <c r="B154" s="777" t="s">
        <v>322</v>
      </c>
      <c r="C154" s="778"/>
      <c r="D154" s="155">
        <f>IF(O145=0,0,IF(O145=1,(D147+E147+F147),VLOOKUP($O145,$B147:$M153,D$1,0)))</f>
        <v>0</v>
      </c>
      <c r="E154" s="155">
        <f>IF(O145=0,0,IF(O145=1,0,VLOOKUP($O145,$B147:$M153,E$1,0)))</f>
        <v>0</v>
      </c>
      <c r="F154" s="155">
        <f>IF(O145=0,0,IF(O145=1,0,VLOOKUP($O145,$B147:$M153,F$1,0)))</f>
        <v>0</v>
      </c>
      <c r="G154" s="155">
        <f>IF(O145=0,0,IF(O145=1,0,VLOOKUP($O145,$B147:$M153,G$1,0)))</f>
        <v>0</v>
      </c>
      <c r="H154" s="155">
        <f>IF(O145=0,0,IF(O145=1,0,VLOOKUP($O145,$B147:$M153,H$1,0)))</f>
        <v>0</v>
      </c>
      <c r="I154" s="155">
        <f>IF(O145=0,0,IF(O145=1,0,VLOOKUP($O145,$B147:$M153,I$1,0)))</f>
        <v>0</v>
      </c>
      <c r="J154" s="155">
        <f>IF(O145=0,0,IF(O145=1,0,VLOOKUP($O145,$B147:$M153,J$1,0)))</f>
        <v>0</v>
      </c>
      <c r="K154" s="155">
        <f>IF(O145=0,0,IF(O145=1,0,VLOOKUP($O145,$B147:$M153,K$1,0)))</f>
        <v>0</v>
      </c>
      <c r="L154" s="155">
        <f>IF(O145=0,0,IF(O145=1,0,VLOOKUP($O145,$B147:$M153,L$1,0)))</f>
        <v>0</v>
      </c>
      <c r="M154" s="155">
        <f>IF(O145=0,0,IF(O145=1,0,VLOOKUP($O145,$B147:$M153,M$1,0)))</f>
        <v>0</v>
      </c>
      <c r="O154" s="141"/>
    </row>
    <row r="155" spans="1:16">
      <c r="A155" s="775"/>
      <c r="B155" s="779" t="s">
        <v>323</v>
      </c>
      <c r="C155" s="780"/>
      <c r="D155" s="156">
        <f>IF(O145=0,0,IF(O149&gt;12,12,O149))</f>
        <v>0</v>
      </c>
      <c r="E155" s="156">
        <f>IF(O145=0,0,IF((O149-D155)&gt;12,12,(O149-D155)))</f>
        <v>0</v>
      </c>
      <c r="F155" s="156">
        <f>IF(O145=0,0,IF((O149-E155-D155)&gt;12,12,(O149-D155-E155)))</f>
        <v>0</v>
      </c>
      <c r="G155" s="156">
        <f>IF(O145=0,0,IF((O149-F155-E155-D155)&gt;12,12,(O149-E155-F155-D155)))</f>
        <v>0</v>
      </c>
      <c r="H155" s="156">
        <f>IF(O145=0,0,IF((O149-G155-F155-E155-D155)&gt;12,12,(O149-F155-G155-E155-D155)))</f>
        <v>0</v>
      </c>
      <c r="I155" s="156">
        <f>IF(O145=0,0,IF((O149-H155-G155-F155-E155-D155)&gt;12,12,(O149-G155-H155-F155-E155-D155)))</f>
        <v>0</v>
      </c>
      <c r="J155" s="156">
        <f>IF(O145=0,0,IF((O149-I155-H155-G155-F155-E155-D155)&gt;12,12,(O149-H155-I155-G155-F155-E155-D155)))</f>
        <v>0</v>
      </c>
      <c r="K155" s="156">
        <f>IF(O145=0,0,IF((O149-J155-I155-H155-G155-F155-E155-D155)&gt;12,12,(O149-I155-J155-H155-G155-F155-E155-D155)))</f>
        <v>0</v>
      </c>
      <c r="L155" s="156">
        <f>IF(O145=0,0,IF((O149-J155-I155-H155-G155-F155-E155-D155)&gt;12,12,(O149-I155-J155-H155-G155-F155-E155-D155-K155)))</f>
        <v>0</v>
      </c>
      <c r="M155" s="156">
        <f>IF(O145=0,0,IF((O149-J155-I155-H155-G155-F155-E155-D155)&gt;12,12,(O149-I155-J155-H155-G155-F155-E155-D155-K155-L155)))</f>
        <v>0</v>
      </c>
      <c r="O155" s="141"/>
    </row>
    <row r="156" spans="1:16" ht="15.75" thickBot="1">
      <c r="A156" s="776"/>
      <c r="B156" s="781" t="s">
        <v>324</v>
      </c>
      <c r="C156" s="782"/>
      <c r="D156" s="157">
        <f>+D154/12*D155</f>
        <v>0</v>
      </c>
      <c r="E156" s="157">
        <f t="shared" ref="E156:M156" si="12">+E154/12*E155</f>
        <v>0</v>
      </c>
      <c r="F156" s="157">
        <f t="shared" si="12"/>
        <v>0</v>
      </c>
      <c r="G156" s="157">
        <f t="shared" si="12"/>
        <v>0</v>
      </c>
      <c r="H156" s="157">
        <f t="shared" si="12"/>
        <v>0</v>
      </c>
      <c r="I156" s="157">
        <f t="shared" si="12"/>
        <v>0</v>
      </c>
      <c r="J156" s="157">
        <f t="shared" si="12"/>
        <v>0</v>
      </c>
      <c r="K156" s="157">
        <f t="shared" si="12"/>
        <v>0</v>
      </c>
      <c r="L156" s="157">
        <f t="shared" si="12"/>
        <v>0</v>
      </c>
      <c r="M156" s="157">
        <f t="shared" si="12"/>
        <v>0</v>
      </c>
      <c r="N156" s="158"/>
      <c r="O156" s="159"/>
    </row>
    <row r="157" spans="1:16">
      <c r="A157" s="774">
        <f>+'5.Equipments'!A16</f>
        <v>14</v>
      </c>
      <c r="B157" s="133">
        <f>IF('5.Equipments'!E16=0,0,'5.Equipments'!C16)</f>
        <v>0</v>
      </c>
      <c r="C157" s="134"/>
      <c r="D157" s="135">
        <v>3</v>
      </c>
      <c r="E157" s="135">
        <v>4</v>
      </c>
      <c r="F157" s="135">
        <v>5</v>
      </c>
      <c r="G157" s="135">
        <v>6</v>
      </c>
      <c r="H157" s="135">
        <v>7</v>
      </c>
      <c r="I157" s="135">
        <v>8</v>
      </c>
      <c r="J157" s="135">
        <v>9</v>
      </c>
      <c r="K157" s="135">
        <v>10</v>
      </c>
      <c r="L157" s="135">
        <v>11</v>
      </c>
      <c r="M157" s="135">
        <v>12</v>
      </c>
      <c r="N157" s="136" t="s">
        <v>299</v>
      </c>
      <c r="O157" s="137">
        <f>+O158/12</f>
        <v>0</v>
      </c>
    </row>
    <row r="158" spans="1:16">
      <c r="A158" s="775"/>
      <c r="B158" s="138" t="s">
        <v>302</v>
      </c>
      <c r="C158" s="139" t="s">
        <v>303</v>
      </c>
      <c r="D158" s="139" t="s">
        <v>304</v>
      </c>
      <c r="E158" s="139" t="s">
        <v>305</v>
      </c>
      <c r="F158" s="139" t="s">
        <v>306</v>
      </c>
      <c r="G158" s="139" t="s">
        <v>307</v>
      </c>
      <c r="H158" s="139" t="s">
        <v>308</v>
      </c>
      <c r="I158" s="139" t="s">
        <v>309</v>
      </c>
      <c r="J158" s="139" t="s">
        <v>310</v>
      </c>
      <c r="K158" s="139" t="s">
        <v>311</v>
      </c>
      <c r="L158" s="139" t="s">
        <v>312</v>
      </c>
      <c r="M158" s="139" t="s">
        <v>313</v>
      </c>
      <c r="N158" s="140" t="s">
        <v>314</v>
      </c>
      <c r="O158" s="141">
        <f>IFERROR(VLOOKUP(A157,Tabela8[[No.]:[Institution**]],4,0)*12,0)</f>
        <v>0</v>
      </c>
    </row>
    <row r="159" spans="1:16">
      <c r="A159" s="775"/>
      <c r="B159" s="138">
        <v>3</v>
      </c>
      <c r="C159" s="142">
        <v>0.5</v>
      </c>
      <c r="D159" s="143">
        <f>B157*C159</f>
        <v>0</v>
      </c>
      <c r="E159" s="143">
        <f>D159*C159</f>
        <v>0</v>
      </c>
      <c r="F159" s="143">
        <f>B157-D159-E159</f>
        <v>0</v>
      </c>
      <c r="G159" s="144"/>
      <c r="H159" s="144"/>
      <c r="I159" s="144"/>
      <c r="J159" s="144"/>
      <c r="K159" s="144"/>
      <c r="L159" s="144"/>
      <c r="M159" s="144"/>
      <c r="N159" s="145" t="s">
        <v>315</v>
      </c>
      <c r="O159" s="141">
        <f>+Info!B7</f>
        <v>36</v>
      </c>
    </row>
    <row r="160" spans="1:16">
      <c r="A160" s="775"/>
      <c r="B160" s="138">
        <v>4</v>
      </c>
      <c r="C160" s="142">
        <v>0.375</v>
      </c>
      <c r="D160" s="143">
        <f>B157*$C$4</f>
        <v>0</v>
      </c>
      <c r="E160" s="143">
        <f>(B157-D160)*C160</f>
        <v>0</v>
      </c>
      <c r="F160" s="143">
        <f>(+B157-D160-E160)/2</f>
        <v>0</v>
      </c>
      <c r="G160" s="143">
        <f>+F160</f>
        <v>0</v>
      </c>
      <c r="H160" s="144"/>
      <c r="I160" s="144"/>
      <c r="J160" s="144"/>
      <c r="K160" s="144"/>
      <c r="L160" s="144"/>
      <c r="M160" s="144"/>
      <c r="N160" s="145" t="s">
        <v>316</v>
      </c>
      <c r="O160" s="141" t="str">
        <f>VLOOKUP(A157,'5.Equipments'!$A$3:$E$22,5,0)</f>
        <v/>
      </c>
    </row>
    <row r="161" spans="1:16">
      <c r="A161" s="775"/>
      <c r="B161" s="138">
        <v>5</v>
      </c>
      <c r="C161" s="142">
        <v>0.4</v>
      </c>
      <c r="D161" s="143">
        <f>B157*$C$5</f>
        <v>0</v>
      </c>
      <c r="E161" s="143">
        <f>(B157-D161)*C161</f>
        <v>0</v>
      </c>
      <c r="F161" s="143">
        <f>(B157-D161-E161)*C161</f>
        <v>0</v>
      </c>
      <c r="G161" s="143">
        <f>(+B157-D161-E161-F161)/2</f>
        <v>0</v>
      </c>
      <c r="H161" s="143">
        <f>B157-D161-E161-F161-G161</f>
        <v>0</v>
      </c>
      <c r="I161" s="144"/>
      <c r="J161" s="144"/>
      <c r="K161" s="144"/>
      <c r="L161" s="144"/>
      <c r="M161" s="144"/>
      <c r="N161" t="s">
        <v>317</v>
      </c>
      <c r="O161" s="141" t="str">
        <f>+'5.Equipments'!F16</f>
        <v/>
      </c>
    </row>
    <row r="162" spans="1:16">
      <c r="A162" s="775"/>
      <c r="B162" s="138">
        <v>6</v>
      </c>
      <c r="C162" s="142">
        <v>0.33333333333333331</v>
      </c>
      <c r="D162" s="146">
        <f>B157*$C$6</f>
        <v>0</v>
      </c>
      <c r="E162" s="146">
        <f>(B157-D162)*C162</f>
        <v>0</v>
      </c>
      <c r="F162" s="146">
        <f>(B157-D162-E162)*C162</f>
        <v>0</v>
      </c>
      <c r="G162" s="146">
        <f>(B157-D162-E162-F162)*C162</f>
        <v>0</v>
      </c>
      <c r="H162" s="146">
        <f>(+B157-D162-E162-F162-G162)/2</f>
        <v>0</v>
      </c>
      <c r="I162" s="146">
        <f>B157-D162-E162-F162-G162-H162</f>
        <v>0</v>
      </c>
      <c r="J162" s="144"/>
      <c r="K162" s="144"/>
      <c r="L162" s="144"/>
      <c r="M162" s="144"/>
      <c r="N162" s="145" t="s">
        <v>318</v>
      </c>
      <c r="O162" s="147">
        <f>SUM(D168:M168)</f>
        <v>0</v>
      </c>
    </row>
    <row r="163" spans="1:16">
      <c r="A163" s="775"/>
      <c r="B163" s="138">
        <v>7</v>
      </c>
      <c r="C163" s="142">
        <v>0.3571428571428571</v>
      </c>
      <c r="D163" s="143">
        <f>B157*$C$7</f>
        <v>0</v>
      </c>
      <c r="E163" s="143">
        <f>(B157-D163)*C163</f>
        <v>0</v>
      </c>
      <c r="F163" s="143">
        <f>(B157-D163-E163)*C163</f>
        <v>0</v>
      </c>
      <c r="G163" s="143">
        <f>(B157-D163-E163-F163)*C163</f>
        <v>0</v>
      </c>
      <c r="H163" s="143">
        <f>(B157-D163-E163-F163-G163)*C163</f>
        <v>0</v>
      </c>
      <c r="I163" s="143">
        <f>(+B157-D163-E163-F163-G163-H163)/2</f>
        <v>0</v>
      </c>
      <c r="J163" s="143">
        <f>B157-D163-E163-F163-G163-H163-I163</f>
        <v>0</v>
      </c>
      <c r="K163" s="144"/>
      <c r="L163" s="144"/>
      <c r="M163" s="144"/>
      <c r="N163" s="149" t="s">
        <v>320</v>
      </c>
      <c r="O163" s="150">
        <f>(B157-O162)*1.23</f>
        <v>0</v>
      </c>
      <c r="P163" s="148" t="s">
        <v>321</v>
      </c>
    </row>
    <row r="164" spans="1:16">
      <c r="A164" s="775"/>
      <c r="B164" s="138">
        <v>8</v>
      </c>
      <c r="C164" s="142">
        <v>0.3125</v>
      </c>
      <c r="D164" s="143">
        <f>B157*$C$8</f>
        <v>0</v>
      </c>
      <c r="E164" s="143">
        <f>(B157-D164)*C164</f>
        <v>0</v>
      </c>
      <c r="F164" s="143">
        <f>(B157-D164-E164)*C164</f>
        <v>0</v>
      </c>
      <c r="G164" s="143">
        <f>(B157-D164-E164-F164)*C164</f>
        <v>0</v>
      </c>
      <c r="H164" s="143">
        <f>(B157-D164-E164-F164-G164)*C164</f>
        <v>0</v>
      </c>
      <c r="I164" s="143">
        <f>+(B157-D164-E164-F164-G164-H164)/3</f>
        <v>0</v>
      </c>
      <c r="J164" s="143">
        <f>+I164</f>
        <v>0</v>
      </c>
      <c r="K164" s="143">
        <f>+J164</f>
        <v>0</v>
      </c>
      <c r="L164" s="144"/>
      <c r="M164" s="144"/>
      <c r="O164" s="141"/>
    </row>
    <row r="165" spans="1:16">
      <c r="A165" s="775"/>
      <c r="B165" s="151">
        <v>10</v>
      </c>
      <c r="C165" s="152">
        <v>0.25</v>
      </c>
      <c r="D165" s="153">
        <f>B157*$C$9</f>
        <v>0</v>
      </c>
      <c r="E165" s="153">
        <f>(B157-D165)*C165</f>
        <v>0</v>
      </c>
      <c r="F165" s="153">
        <f>(B157-D165-E165)*C165</f>
        <v>0</v>
      </c>
      <c r="G165" s="153">
        <f>(B157-D165-E165-F165)*C165</f>
        <v>0</v>
      </c>
      <c r="H165" s="153">
        <f>(B157-D165-E165-F165-G165)*C165</f>
        <v>0</v>
      </c>
      <c r="I165" s="153">
        <f>+(B157-D165-E165-F165-G165-H165)/5</f>
        <v>0</v>
      </c>
      <c r="J165" s="153">
        <f>+I165</f>
        <v>0</v>
      </c>
      <c r="K165" s="153">
        <f>+J165</f>
        <v>0</v>
      </c>
      <c r="L165" s="153">
        <f>+K165</f>
        <v>0</v>
      </c>
      <c r="M165" s="154">
        <f>+L165</f>
        <v>0</v>
      </c>
      <c r="O165" s="141"/>
    </row>
    <row r="166" spans="1:16">
      <c r="A166" s="775"/>
      <c r="B166" s="777" t="s">
        <v>322</v>
      </c>
      <c r="C166" s="778"/>
      <c r="D166" s="155">
        <f>IF(O157=0,0,IF(O157=1,(D159+E159+F159),VLOOKUP($O157,$B159:$M165,D$1,0)))</f>
        <v>0</v>
      </c>
      <c r="E166" s="155">
        <f>IF(O157=0,0,IF(O157=1,0,VLOOKUP($O157,$B159:$M165,E$1,0)))</f>
        <v>0</v>
      </c>
      <c r="F166" s="155">
        <f>IF(O157=0,0,IF(O157=1,0,VLOOKUP($O157,$B159:$M165,F$1,0)))</f>
        <v>0</v>
      </c>
      <c r="G166" s="155">
        <f>IF(O157=0,0,IF(O157=1,0,VLOOKUP($O157,$B159:$M165,G$1,0)))</f>
        <v>0</v>
      </c>
      <c r="H166" s="155">
        <f>IF(O157=0,0,IF(O157=1,0,VLOOKUP($O157,$B159:$M165,H$1,0)))</f>
        <v>0</v>
      </c>
      <c r="I166" s="155">
        <f>IF(O157=0,0,IF(O157=1,0,VLOOKUP($O157,$B159:$M165,I$1,0)))</f>
        <v>0</v>
      </c>
      <c r="J166" s="155">
        <f>IF(O157=0,0,IF(O157=1,0,VLOOKUP($O157,$B159:$M165,J$1,0)))</f>
        <v>0</v>
      </c>
      <c r="K166" s="155">
        <f>IF(O157=0,0,IF(O157=1,0,VLOOKUP($O157,$B159:$M165,K$1,0)))</f>
        <v>0</v>
      </c>
      <c r="L166" s="155">
        <f>IF(O157=0,0,IF(O157=1,0,VLOOKUP($O157,$B159:$M165,L$1,0)))</f>
        <v>0</v>
      </c>
      <c r="M166" s="155">
        <f>IF(O157=0,0,IF(O157=1,0,VLOOKUP($O157,$B159:$M165,M$1,0)))</f>
        <v>0</v>
      </c>
      <c r="O166" s="141"/>
    </row>
    <row r="167" spans="1:16">
      <c r="A167" s="775"/>
      <c r="B167" s="779" t="s">
        <v>323</v>
      </c>
      <c r="C167" s="780"/>
      <c r="D167" s="156">
        <f>IF(O157=0,0,IF(O161&gt;12,12,O161))</f>
        <v>0</v>
      </c>
      <c r="E167" s="156">
        <f>IF(O157=0,0,IF((O161-D167)&gt;12,12,(O161-D167)))</f>
        <v>0</v>
      </c>
      <c r="F167" s="156">
        <f>IF(O157=0,0,IF((O161-E167-D167)&gt;12,12,(O161-D167-E167)))</f>
        <v>0</v>
      </c>
      <c r="G167" s="156">
        <f>IF(O157=0,0,IF((O161-F167-E167-D167)&gt;12,12,(O161-E167-F167-D167)))</f>
        <v>0</v>
      </c>
      <c r="H167" s="156">
        <f>IF(O157=0,0,IF((O161-G167-F167-E167-D167)&gt;12,12,(O161-F167-G167-E167-D167)))</f>
        <v>0</v>
      </c>
      <c r="I167" s="156">
        <f>IF(O157=0,0,IF((O161-H167-G167-F167-E167-D167)&gt;12,12,(O161-G167-H167-F167-E167-D167)))</f>
        <v>0</v>
      </c>
      <c r="J167" s="156">
        <f>IF(O157=0,0,IF((O161-I167-H167-G167-F167-E167-D167)&gt;12,12,(O161-H167-I167-G167-F167-E167-D167)))</f>
        <v>0</v>
      </c>
      <c r="K167" s="156">
        <f>IF(O157=0,0,IF((O161-J167-I167-H167-G167-F167-E167-D167)&gt;12,12,(O161-I167-J167-H167-G167-F167-E167-D167)))</f>
        <v>0</v>
      </c>
      <c r="L167" s="156">
        <f>IF(O157=0,0,IF((O161-J167-I167-H167-G167-F167-E167-D167)&gt;12,12,(O161-I167-J167-H167-G167-F167-E167-D167-K167)))</f>
        <v>0</v>
      </c>
      <c r="M167" s="156">
        <f>IF(O157=0,0,IF((O161-J167-I167-H167-G167-F167-E167-D167)&gt;12,12,(O161-I167-J167-H167-G167-F167-E167-D167-K167-L167)))</f>
        <v>0</v>
      </c>
      <c r="O167" s="141"/>
    </row>
    <row r="168" spans="1:16" ht="15.75" thickBot="1">
      <c r="A168" s="776"/>
      <c r="B168" s="781" t="s">
        <v>324</v>
      </c>
      <c r="C168" s="782"/>
      <c r="D168" s="157">
        <f>+D166/12*D167</f>
        <v>0</v>
      </c>
      <c r="E168" s="157">
        <f t="shared" ref="E168:M168" si="13">+E166/12*E167</f>
        <v>0</v>
      </c>
      <c r="F168" s="157">
        <f t="shared" si="13"/>
        <v>0</v>
      </c>
      <c r="G168" s="157">
        <f t="shared" si="13"/>
        <v>0</v>
      </c>
      <c r="H168" s="157">
        <f t="shared" si="13"/>
        <v>0</v>
      </c>
      <c r="I168" s="157">
        <f t="shared" si="13"/>
        <v>0</v>
      </c>
      <c r="J168" s="157">
        <f t="shared" si="13"/>
        <v>0</v>
      </c>
      <c r="K168" s="157">
        <f t="shared" si="13"/>
        <v>0</v>
      </c>
      <c r="L168" s="157">
        <f t="shared" si="13"/>
        <v>0</v>
      </c>
      <c r="M168" s="157">
        <f t="shared" si="13"/>
        <v>0</v>
      </c>
      <c r="N168" s="158"/>
      <c r="O168" s="159"/>
    </row>
    <row r="169" spans="1:16">
      <c r="A169" s="774">
        <f>+'5.Equipments'!A17</f>
        <v>15</v>
      </c>
      <c r="B169" s="133">
        <f>IF('5.Equipments'!E17=0,0,'5.Equipments'!C17)</f>
        <v>0</v>
      </c>
      <c r="C169" s="134"/>
      <c r="D169" s="135">
        <v>3</v>
      </c>
      <c r="E169" s="135">
        <v>4</v>
      </c>
      <c r="F169" s="135">
        <v>5</v>
      </c>
      <c r="G169" s="135">
        <v>6</v>
      </c>
      <c r="H169" s="135">
        <v>7</v>
      </c>
      <c r="I169" s="135">
        <v>8</v>
      </c>
      <c r="J169" s="135">
        <v>9</v>
      </c>
      <c r="K169" s="135">
        <v>10</v>
      </c>
      <c r="L169" s="135">
        <v>11</v>
      </c>
      <c r="M169" s="135">
        <v>12</v>
      </c>
      <c r="N169" s="136" t="s">
        <v>299</v>
      </c>
      <c r="O169" s="137">
        <f>+O170/12</f>
        <v>0</v>
      </c>
    </row>
    <row r="170" spans="1:16">
      <c r="A170" s="775"/>
      <c r="B170" s="138" t="s">
        <v>302</v>
      </c>
      <c r="C170" s="139" t="s">
        <v>303</v>
      </c>
      <c r="D170" s="139" t="s">
        <v>304</v>
      </c>
      <c r="E170" s="139" t="s">
        <v>305</v>
      </c>
      <c r="F170" s="139" t="s">
        <v>306</v>
      </c>
      <c r="G170" s="139" t="s">
        <v>307</v>
      </c>
      <c r="H170" s="139" t="s">
        <v>308</v>
      </c>
      <c r="I170" s="139" t="s">
        <v>309</v>
      </c>
      <c r="J170" s="139" t="s">
        <v>310</v>
      </c>
      <c r="K170" s="139" t="s">
        <v>311</v>
      </c>
      <c r="L170" s="139" t="s">
        <v>312</v>
      </c>
      <c r="M170" s="139" t="s">
        <v>313</v>
      </c>
      <c r="N170" s="140" t="s">
        <v>314</v>
      </c>
      <c r="O170" s="141">
        <f>IFERROR(VLOOKUP(A169,Tabela8[[No.]:[Institution**]],4,0)*12,0)</f>
        <v>0</v>
      </c>
    </row>
    <row r="171" spans="1:16">
      <c r="A171" s="775"/>
      <c r="B171" s="138">
        <v>3</v>
      </c>
      <c r="C171" s="142">
        <v>0.5</v>
      </c>
      <c r="D171" s="143">
        <f>B169*C171</f>
        <v>0</v>
      </c>
      <c r="E171" s="143">
        <f>D171*C171</f>
        <v>0</v>
      </c>
      <c r="F171" s="143">
        <f>B169-D171-E171</f>
        <v>0</v>
      </c>
      <c r="G171" s="144"/>
      <c r="H171" s="144"/>
      <c r="I171" s="144"/>
      <c r="J171" s="144"/>
      <c r="K171" s="144"/>
      <c r="L171" s="144"/>
      <c r="M171" s="144"/>
      <c r="N171" s="145" t="s">
        <v>315</v>
      </c>
      <c r="O171" s="141">
        <f>+Info!B7</f>
        <v>36</v>
      </c>
    </row>
    <row r="172" spans="1:16">
      <c r="A172" s="775"/>
      <c r="B172" s="138">
        <v>4</v>
      </c>
      <c r="C172" s="142">
        <v>0.375</v>
      </c>
      <c r="D172" s="143">
        <f>B169*$C$4</f>
        <v>0</v>
      </c>
      <c r="E172" s="143">
        <f>(B169-D172)*C172</f>
        <v>0</v>
      </c>
      <c r="F172" s="143">
        <f>(+B169-D172-E172)/2</f>
        <v>0</v>
      </c>
      <c r="G172" s="143">
        <f>+F172</f>
        <v>0</v>
      </c>
      <c r="H172" s="144"/>
      <c r="I172" s="144"/>
      <c r="J172" s="144"/>
      <c r="K172" s="144"/>
      <c r="L172" s="144"/>
      <c r="M172" s="144"/>
      <c r="N172" s="145" t="s">
        <v>316</v>
      </c>
      <c r="O172" s="141" t="str">
        <f>VLOOKUP(A169,'5.Equipments'!$A$3:$E$22,5,0)</f>
        <v/>
      </c>
    </row>
    <row r="173" spans="1:16">
      <c r="A173" s="775"/>
      <c r="B173" s="138">
        <v>5</v>
      </c>
      <c r="C173" s="142">
        <v>0.4</v>
      </c>
      <c r="D173" s="143">
        <f>B169*$C$5</f>
        <v>0</v>
      </c>
      <c r="E173" s="143">
        <f>(B169-D173)*C173</f>
        <v>0</v>
      </c>
      <c r="F173" s="143">
        <f>(B169-D173-E173)*C173</f>
        <v>0</v>
      </c>
      <c r="G173" s="143">
        <f>(+B169-D173-E173-F173)/2</f>
        <v>0</v>
      </c>
      <c r="H173" s="143">
        <f>B169-D173-E173-F173-G173</f>
        <v>0</v>
      </c>
      <c r="I173" s="144"/>
      <c r="J173" s="144"/>
      <c r="K173" s="144"/>
      <c r="L173" s="144"/>
      <c r="M173" s="144"/>
      <c r="N173" t="s">
        <v>317</v>
      </c>
      <c r="O173" s="141" t="str">
        <f>+'5.Equipments'!F17</f>
        <v/>
      </c>
    </row>
    <row r="174" spans="1:16">
      <c r="A174" s="775"/>
      <c r="B174" s="138">
        <v>6</v>
      </c>
      <c r="C174" s="142">
        <v>0.33333333333333331</v>
      </c>
      <c r="D174" s="146">
        <f>B169*$C$6</f>
        <v>0</v>
      </c>
      <c r="E174" s="146">
        <f>(B169-D174)*C174</f>
        <v>0</v>
      </c>
      <c r="F174" s="146">
        <f>(B169-D174-E174)*C174</f>
        <v>0</v>
      </c>
      <c r="G174" s="146">
        <f>(B169-D174-E174-F174)*C174</f>
        <v>0</v>
      </c>
      <c r="H174" s="146">
        <f>(+B169-D174-E174-F174-G174)/2</f>
        <v>0</v>
      </c>
      <c r="I174" s="146">
        <f>B169-D174-E174-F174-G174-H174</f>
        <v>0</v>
      </c>
      <c r="J174" s="144"/>
      <c r="K174" s="144"/>
      <c r="L174" s="144"/>
      <c r="M174" s="144"/>
      <c r="N174" s="145" t="s">
        <v>318</v>
      </c>
      <c r="O174" s="147">
        <f>SUM(D180:M180)</f>
        <v>0</v>
      </c>
    </row>
    <row r="175" spans="1:16">
      <c r="A175" s="775"/>
      <c r="B175" s="138">
        <v>7</v>
      </c>
      <c r="C175" s="142">
        <v>0.3571428571428571</v>
      </c>
      <c r="D175" s="143">
        <f>B169*$C$7</f>
        <v>0</v>
      </c>
      <c r="E175" s="143">
        <f>(B169-D175)*C175</f>
        <v>0</v>
      </c>
      <c r="F175" s="143">
        <f>(B169-D175-E175)*C175</f>
        <v>0</v>
      </c>
      <c r="G175" s="143">
        <f>(B169-D175-E175-F175)*C175</f>
        <v>0</v>
      </c>
      <c r="H175" s="143">
        <f>(B169-D175-E175-F175-G175)*C175</f>
        <v>0</v>
      </c>
      <c r="I175" s="143">
        <f>(+B169-D175-E175-F175-G175-H175)/2</f>
        <v>0</v>
      </c>
      <c r="J175" s="143">
        <f>B169-D175-E175-F175-G175-H175-I175</f>
        <v>0</v>
      </c>
      <c r="K175" s="144"/>
      <c r="L175" s="144"/>
      <c r="M175" s="144"/>
      <c r="N175" s="149" t="s">
        <v>320</v>
      </c>
      <c r="O175" s="150">
        <f>(B169-O174)*1.23</f>
        <v>0</v>
      </c>
      <c r="P175" s="148" t="s">
        <v>321</v>
      </c>
    </row>
    <row r="176" spans="1:16">
      <c r="A176" s="775"/>
      <c r="B176" s="138">
        <v>8</v>
      </c>
      <c r="C176" s="142">
        <v>0.3125</v>
      </c>
      <c r="D176" s="143">
        <f>B169*$C$8</f>
        <v>0</v>
      </c>
      <c r="E176" s="143">
        <f>(B169-D176)*C176</f>
        <v>0</v>
      </c>
      <c r="F176" s="143">
        <f>(B169-D176-E176)*C176</f>
        <v>0</v>
      </c>
      <c r="G176" s="143">
        <f>(B169-D176-E176-F176)*C176</f>
        <v>0</v>
      </c>
      <c r="H176" s="143">
        <f>(B169-D176-E176-F176-G176)*C176</f>
        <v>0</v>
      </c>
      <c r="I176" s="143">
        <f>+(B169-D176-E176-F176-G176-H176)/3</f>
        <v>0</v>
      </c>
      <c r="J176" s="143">
        <f>+I176</f>
        <v>0</v>
      </c>
      <c r="K176" s="143">
        <f>+J176</f>
        <v>0</v>
      </c>
      <c r="L176" s="144"/>
      <c r="M176" s="144"/>
      <c r="O176" s="141"/>
    </row>
    <row r="177" spans="1:16">
      <c r="A177" s="775"/>
      <c r="B177" s="151">
        <v>10</v>
      </c>
      <c r="C177" s="152">
        <v>0.25</v>
      </c>
      <c r="D177" s="153">
        <f>B169*$C$9</f>
        <v>0</v>
      </c>
      <c r="E177" s="153">
        <f>(B169-D177)*C177</f>
        <v>0</v>
      </c>
      <c r="F177" s="153">
        <f>(B169-D177-E177)*C177</f>
        <v>0</v>
      </c>
      <c r="G177" s="153">
        <f>(B169-D177-E177-F177)*C177</f>
        <v>0</v>
      </c>
      <c r="H177" s="153">
        <f>(B169-D177-E177-F177-G177)*C177</f>
        <v>0</v>
      </c>
      <c r="I177" s="153">
        <f>+(B169-D177-E177-F177-G177-H177)/5</f>
        <v>0</v>
      </c>
      <c r="J177" s="153">
        <f>+I177</f>
        <v>0</v>
      </c>
      <c r="K177" s="153">
        <f>+J177</f>
        <v>0</v>
      </c>
      <c r="L177" s="153">
        <f>+K177</f>
        <v>0</v>
      </c>
      <c r="M177" s="154">
        <f>+L177</f>
        <v>0</v>
      </c>
      <c r="O177" s="141"/>
    </row>
    <row r="178" spans="1:16">
      <c r="A178" s="775"/>
      <c r="B178" s="777" t="s">
        <v>322</v>
      </c>
      <c r="C178" s="778"/>
      <c r="D178" s="155">
        <f>IF(O169=0,0,IF(O169=1,(D171+E171+F171),VLOOKUP($O169,$B171:$M177,D$1,0)))</f>
        <v>0</v>
      </c>
      <c r="E178" s="155">
        <f>IF(O169=0,0,IF(O169=1,0,VLOOKUP($O169,$B171:$M177,E$1,0)))</f>
        <v>0</v>
      </c>
      <c r="F178" s="155">
        <f>IF(O169=0,0,IF(O169=1,0,VLOOKUP($O169,$B171:$M177,F$1,0)))</f>
        <v>0</v>
      </c>
      <c r="G178" s="155">
        <f>IF(O169=0,0,IF(O169=1,0,VLOOKUP($O169,$B171:$M177,G$1,0)))</f>
        <v>0</v>
      </c>
      <c r="H178" s="155">
        <f>IF(O169=0,0,IF(O169=1,0,VLOOKUP($O169,$B171:$M177,H$1,0)))</f>
        <v>0</v>
      </c>
      <c r="I178" s="155">
        <f>IF(O169=0,0,IF(O169=1,0,VLOOKUP($O169,$B171:$M177,I$1,0)))</f>
        <v>0</v>
      </c>
      <c r="J178" s="155">
        <f>IF(O169=0,0,IF(O169=1,0,VLOOKUP($O169,$B171:$M177,J$1,0)))</f>
        <v>0</v>
      </c>
      <c r="K178" s="155">
        <f>IF(O169=0,0,IF(O169=1,0,VLOOKUP($O169,$B171:$M177,K$1,0)))</f>
        <v>0</v>
      </c>
      <c r="L178" s="155">
        <f>IF(O169=0,0,IF(O169=1,0,VLOOKUP($O169,$B171:$M177,L$1,0)))</f>
        <v>0</v>
      </c>
      <c r="M178" s="155">
        <f>IF(O169=0,0,IF(O169=1,0,VLOOKUP($O169,$B171:$M177,M$1,0)))</f>
        <v>0</v>
      </c>
      <c r="O178" s="141"/>
    </row>
    <row r="179" spans="1:16">
      <c r="A179" s="775"/>
      <c r="B179" s="779" t="s">
        <v>323</v>
      </c>
      <c r="C179" s="780"/>
      <c r="D179" s="156">
        <f>IF(O169=0,0,IF(O173&gt;12,12,O173))</f>
        <v>0</v>
      </c>
      <c r="E179" s="156">
        <f>IF(O169=0,0,IF((O173-D179)&gt;12,12,(O173-D179)))</f>
        <v>0</v>
      </c>
      <c r="F179" s="156">
        <f>IF(O169=0,0,IF((O173-E179-D179)&gt;12,12,(O173-D179-E179)))</f>
        <v>0</v>
      </c>
      <c r="G179" s="156">
        <f>IF(O169=0,0,IF((O173-F179-E179-D179)&gt;12,12,(O173-E179-F179-D179)))</f>
        <v>0</v>
      </c>
      <c r="H179" s="156">
        <f>IF(O169=0,0,IF((O173-G179-F179-E179-D179)&gt;12,12,(O173-F179-G179-E179-D179)))</f>
        <v>0</v>
      </c>
      <c r="I179" s="156">
        <f>IF(O169=0,0,IF((O173-H179-G179-F179-E179-D179)&gt;12,12,(O173-G179-H179-F179-E179-D179)))</f>
        <v>0</v>
      </c>
      <c r="J179" s="156">
        <f>IF(O169=0,0,IF((O173-I179-H179-G179-F179-E179-D179)&gt;12,12,(O173-H179-I179-G179-F179-E179-D179)))</f>
        <v>0</v>
      </c>
      <c r="K179" s="156">
        <f>IF(O169=0,0,IF((O173-J179-I179-H179-G179-F179-E179-D179)&gt;12,12,(O173-I179-J179-H179-G179-F179-E179-D179)))</f>
        <v>0</v>
      </c>
      <c r="L179" s="156">
        <f>IF(O169=0,0,IF((O173-J179-I179-H179-G179-F179-E179-D179)&gt;12,12,(O173-I179-J179-H179-G179-F179-E179-D179-K179)))</f>
        <v>0</v>
      </c>
      <c r="M179" s="156">
        <f>IF(O169=0,0,IF((O173-J179-I179-H179-G179-F179-E179-D179)&gt;12,12,(O173-I179-J179-H179-G179-F179-E179-D179-K179-L179)))</f>
        <v>0</v>
      </c>
      <c r="O179" s="141"/>
    </row>
    <row r="180" spans="1:16" ht="15.75" thickBot="1">
      <c r="A180" s="776"/>
      <c r="B180" s="781" t="s">
        <v>324</v>
      </c>
      <c r="C180" s="782"/>
      <c r="D180" s="157">
        <f>+D178/12*D179</f>
        <v>0</v>
      </c>
      <c r="E180" s="157">
        <f t="shared" ref="E180:M180" si="14">+E178/12*E179</f>
        <v>0</v>
      </c>
      <c r="F180" s="157">
        <f t="shared" si="14"/>
        <v>0</v>
      </c>
      <c r="G180" s="157">
        <f t="shared" si="14"/>
        <v>0</v>
      </c>
      <c r="H180" s="157">
        <f t="shared" si="14"/>
        <v>0</v>
      </c>
      <c r="I180" s="157">
        <f t="shared" si="14"/>
        <v>0</v>
      </c>
      <c r="J180" s="157">
        <f t="shared" si="14"/>
        <v>0</v>
      </c>
      <c r="K180" s="157">
        <f t="shared" si="14"/>
        <v>0</v>
      </c>
      <c r="L180" s="157">
        <f t="shared" si="14"/>
        <v>0</v>
      </c>
      <c r="M180" s="157">
        <f t="shared" si="14"/>
        <v>0</v>
      </c>
      <c r="N180" s="158"/>
      <c r="O180" s="159"/>
    </row>
    <row r="181" spans="1:16">
      <c r="A181" s="774">
        <f>+'5.Equipments'!A18</f>
        <v>16</v>
      </c>
      <c r="B181" s="133">
        <f>IF('5.Equipments'!E18=0,0,'5.Equipments'!C18)</f>
        <v>0</v>
      </c>
      <c r="C181" s="134"/>
      <c r="D181" s="135">
        <v>3</v>
      </c>
      <c r="E181" s="135">
        <v>4</v>
      </c>
      <c r="F181" s="135">
        <v>5</v>
      </c>
      <c r="G181" s="135">
        <v>6</v>
      </c>
      <c r="H181" s="135">
        <v>7</v>
      </c>
      <c r="I181" s="135">
        <v>8</v>
      </c>
      <c r="J181" s="135">
        <v>9</v>
      </c>
      <c r="K181" s="135">
        <v>10</v>
      </c>
      <c r="L181" s="135">
        <v>11</v>
      </c>
      <c r="M181" s="135">
        <v>12</v>
      </c>
      <c r="N181" s="136" t="s">
        <v>299</v>
      </c>
      <c r="O181" s="137">
        <f>+O182/12</f>
        <v>0</v>
      </c>
    </row>
    <row r="182" spans="1:16">
      <c r="A182" s="775"/>
      <c r="B182" s="138" t="s">
        <v>302</v>
      </c>
      <c r="C182" s="139" t="s">
        <v>303</v>
      </c>
      <c r="D182" s="139" t="s">
        <v>304</v>
      </c>
      <c r="E182" s="139" t="s">
        <v>305</v>
      </c>
      <c r="F182" s="139" t="s">
        <v>306</v>
      </c>
      <c r="G182" s="139" t="s">
        <v>307</v>
      </c>
      <c r="H182" s="139" t="s">
        <v>308</v>
      </c>
      <c r="I182" s="139" t="s">
        <v>309</v>
      </c>
      <c r="J182" s="139" t="s">
        <v>310</v>
      </c>
      <c r="K182" s="139" t="s">
        <v>311</v>
      </c>
      <c r="L182" s="139" t="s">
        <v>312</v>
      </c>
      <c r="M182" s="139" t="s">
        <v>313</v>
      </c>
      <c r="N182" s="140" t="s">
        <v>314</v>
      </c>
      <c r="O182" s="141">
        <f>IFERROR(VLOOKUP(A181,Tabela8[[No.]:[Institution**]],4,0)*12,0)</f>
        <v>0</v>
      </c>
    </row>
    <row r="183" spans="1:16">
      <c r="A183" s="775"/>
      <c r="B183" s="138">
        <v>3</v>
      </c>
      <c r="C183" s="142">
        <v>0.5</v>
      </c>
      <c r="D183" s="143">
        <f>B181*C183</f>
        <v>0</v>
      </c>
      <c r="E183" s="143">
        <f>D183*C183</f>
        <v>0</v>
      </c>
      <c r="F183" s="143">
        <f>B181-D183-E183</f>
        <v>0</v>
      </c>
      <c r="G183" s="144"/>
      <c r="H183" s="144"/>
      <c r="I183" s="144"/>
      <c r="J183" s="144"/>
      <c r="K183" s="144"/>
      <c r="L183" s="144"/>
      <c r="M183" s="144"/>
      <c r="N183" s="145" t="s">
        <v>315</v>
      </c>
      <c r="O183" s="141">
        <f>+Info!B7</f>
        <v>36</v>
      </c>
    </row>
    <row r="184" spans="1:16">
      <c r="A184" s="775"/>
      <c r="B184" s="138">
        <v>4</v>
      </c>
      <c r="C184" s="142">
        <v>0.375</v>
      </c>
      <c r="D184" s="143">
        <f>B181*$C$4</f>
        <v>0</v>
      </c>
      <c r="E184" s="143">
        <f>(B181-D184)*C184</f>
        <v>0</v>
      </c>
      <c r="F184" s="143">
        <f>(+B181-D184-E184)/2</f>
        <v>0</v>
      </c>
      <c r="G184" s="143">
        <f>+F184</f>
        <v>0</v>
      </c>
      <c r="H184" s="144"/>
      <c r="I184" s="144"/>
      <c r="J184" s="144"/>
      <c r="K184" s="144"/>
      <c r="L184" s="144"/>
      <c r="M184" s="144"/>
      <c r="N184" s="145" t="s">
        <v>316</v>
      </c>
      <c r="O184" s="141" t="str">
        <f>VLOOKUP(A181,'5.Equipments'!$A$3:$E$22,5,0)</f>
        <v/>
      </c>
    </row>
    <row r="185" spans="1:16">
      <c r="A185" s="775"/>
      <c r="B185" s="138">
        <v>5</v>
      </c>
      <c r="C185" s="142">
        <v>0.4</v>
      </c>
      <c r="D185" s="143">
        <f>B181*$C$5</f>
        <v>0</v>
      </c>
      <c r="E185" s="143">
        <f>(B181-D185)*C185</f>
        <v>0</v>
      </c>
      <c r="F185" s="143">
        <f>(B181-D185-E185)*C185</f>
        <v>0</v>
      </c>
      <c r="G185" s="143">
        <f>(+B181-D185-E185-F185)/2</f>
        <v>0</v>
      </c>
      <c r="H185" s="143">
        <f>B181-D185-E185-F185-G185</f>
        <v>0</v>
      </c>
      <c r="I185" s="144"/>
      <c r="J185" s="144"/>
      <c r="K185" s="144"/>
      <c r="L185" s="144"/>
      <c r="M185" s="144"/>
      <c r="N185" t="s">
        <v>317</v>
      </c>
      <c r="O185" s="141">
        <f>+'5.Equipments'!F18</f>
        <v>0</v>
      </c>
    </row>
    <row r="186" spans="1:16">
      <c r="A186" s="775"/>
      <c r="B186" s="138">
        <v>6</v>
      </c>
      <c r="C186" s="142">
        <v>0.33333333333333331</v>
      </c>
      <c r="D186" s="146">
        <f>B181*$C$6</f>
        <v>0</v>
      </c>
      <c r="E186" s="146">
        <f>(B181-D186)*C186</f>
        <v>0</v>
      </c>
      <c r="F186" s="146">
        <f>(B181-D186-E186)*C186</f>
        <v>0</v>
      </c>
      <c r="G186" s="146">
        <f>(B181-D186-E186-F186)*C186</f>
        <v>0</v>
      </c>
      <c r="H186" s="146">
        <f>(+B181-D186-E186-F186-G186)/2</f>
        <v>0</v>
      </c>
      <c r="I186" s="146">
        <f>B181-D186-E186-F186-G186-H186</f>
        <v>0</v>
      </c>
      <c r="J186" s="144"/>
      <c r="K186" s="144"/>
      <c r="L186" s="144"/>
      <c r="M186" s="144"/>
      <c r="N186" s="145" t="s">
        <v>318</v>
      </c>
      <c r="O186" s="147">
        <f>SUM(D192:M192)</f>
        <v>0</v>
      </c>
    </row>
    <row r="187" spans="1:16">
      <c r="A187" s="775"/>
      <c r="B187" s="138">
        <v>7</v>
      </c>
      <c r="C187" s="142">
        <v>0.3571428571428571</v>
      </c>
      <c r="D187" s="143">
        <f>B181*$C$7</f>
        <v>0</v>
      </c>
      <c r="E187" s="143">
        <f>(B181-D187)*C187</f>
        <v>0</v>
      </c>
      <c r="F187" s="143">
        <f>(B181-D187-E187)*C187</f>
        <v>0</v>
      </c>
      <c r="G187" s="143">
        <f>(B181-D187-E187-F187)*C187</f>
        <v>0</v>
      </c>
      <c r="H187" s="143">
        <f>(B181-D187-E187-F187-G187)*C187</f>
        <v>0</v>
      </c>
      <c r="I187" s="143">
        <f>(+B181-D187-E187-F187-G187-H187)/2</f>
        <v>0</v>
      </c>
      <c r="J187" s="143">
        <f>B181-D187-E187-F187-G187-H187-I187</f>
        <v>0</v>
      </c>
      <c r="K187" s="144"/>
      <c r="L187" s="144"/>
      <c r="M187" s="144"/>
      <c r="N187" s="149" t="s">
        <v>320</v>
      </c>
      <c r="O187" s="150">
        <f>(B181-O186)*1.23</f>
        <v>0</v>
      </c>
      <c r="P187" s="148" t="s">
        <v>321</v>
      </c>
    </row>
    <row r="188" spans="1:16">
      <c r="A188" s="775"/>
      <c r="B188" s="138">
        <v>8</v>
      </c>
      <c r="C188" s="142">
        <v>0.3125</v>
      </c>
      <c r="D188" s="143">
        <f>B181*$C$8</f>
        <v>0</v>
      </c>
      <c r="E188" s="143">
        <f>(B181-D188)*C188</f>
        <v>0</v>
      </c>
      <c r="F188" s="143">
        <f>(B181-D188-E188)*C188</f>
        <v>0</v>
      </c>
      <c r="G188" s="143">
        <f>(B181-D188-E188-F188)*C188</f>
        <v>0</v>
      </c>
      <c r="H188" s="143">
        <f>(B181-D188-E188-F188-G188)*C188</f>
        <v>0</v>
      </c>
      <c r="I188" s="143">
        <f>+(B181-D188-E188-F188-G188-H188)/3</f>
        <v>0</v>
      </c>
      <c r="J188" s="143">
        <f>+I188</f>
        <v>0</v>
      </c>
      <c r="K188" s="143">
        <f>+J188</f>
        <v>0</v>
      </c>
      <c r="L188" s="144"/>
      <c r="M188" s="144"/>
      <c r="O188" s="141"/>
    </row>
    <row r="189" spans="1:16">
      <c r="A189" s="775"/>
      <c r="B189" s="151">
        <v>10</v>
      </c>
      <c r="C189" s="152">
        <v>0.25</v>
      </c>
      <c r="D189" s="153">
        <f>B181*$C$9</f>
        <v>0</v>
      </c>
      <c r="E189" s="153">
        <f>(B181-D189)*C189</f>
        <v>0</v>
      </c>
      <c r="F189" s="153">
        <f>(B181-D189-E189)*C189</f>
        <v>0</v>
      </c>
      <c r="G189" s="153">
        <f>(B181-D189-E189-F189)*C189</f>
        <v>0</v>
      </c>
      <c r="H189" s="153">
        <f>(B181-D189-E189-F189-G189)*C189</f>
        <v>0</v>
      </c>
      <c r="I189" s="153">
        <f>+(B181-D189-E189-F189-G189-H189)/5</f>
        <v>0</v>
      </c>
      <c r="J189" s="153">
        <f>+I189</f>
        <v>0</v>
      </c>
      <c r="K189" s="153">
        <f>+J189</f>
        <v>0</v>
      </c>
      <c r="L189" s="153">
        <f>+K189</f>
        <v>0</v>
      </c>
      <c r="M189" s="154">
        <f>+L189</f>
        <v>0</v>
      </c>
      <c r="O189" s="141"/>
    </row>
    <row r="190" spans="1:16">
      <c r="A190" s="775"/>
      <c r="B190" s="777" t="s">
        <v>322</v>
      </c>
      <c r="C190" s="778"/>
      <c r="D190" s="155">
        <f>IF(O181=0,0,IF(O181=1,(D183+E183+F183),VLOOKUP($O181,$B183:$M189,D$1,0)))</f>
        <v>0</v>
      </c>
      <c r="E190" s="155">
        <f>IF(O181=0,0,IF(O181=1,0,VLOOKUP($O181,$B183:$M189,E$1,0)))</f>
        <v>0</v>
      </c>
      <c r="F190" s="155">
        <f>IF(O181=0,0,IF(O181=1,0,VLOOKUP($O181,$B183:$M189,F$1,0)))</f>
        <v>0</v>
      </c>
      <c r="G190" s="155">
        <f>IF(O181=0,0,IF(O181=1,0,VLOOKUP($O181,$B183:$M189,G$1,0)))</f>
        <v>0</v>
      </c>
      <c r="H190" s="155">
        <f>IF(O181=0,0,IF(O181=1,0,VLOOKUP($O181,$B183:$M189,H$1,0)))</f>
        <v>0</v>
      </c>
      <c r="I190" s="155">
        <f>IF(O181=0,0,IF(O181=1,0,VLOOKUP($O181,$B183:$M189,I$1,0)))</f>
        <v>0</v>
      </c>
      <c r="J190" s="155">
        <f>IF(O181=0,0,IF(O181=1,0,VLOOKUP($O181,$B183:$M189,J$1,0)))</f>
        <v>0</v>
      </c>
      <c r="K190" s="155">
        <f>IF(O181=0,0,IF(O181=1,0,VLOOKUP($O181,$B183:$M189,K$1,0)))</f>
        <v>0</v>
      </c>
      <c r="L190" s="155">
        <f>IF(O181=0,0,IF(O181=1,0,VLOOKUP($O181,$B183:$M189,L$1,0)))</f>
        <v>0</v>
      </c>
      <c r="M190" s="155">
        <f>IF(O181=0,0,IF(O181=1,0,VLOOKUP($O181,$B183:$M189,M$1,0)))</f>
        <v>0</v>
      </c>
      <c r="O190" s="141"/>
    </row>
    <row r="191" spans="1:16">
      <c r="A191" s="775"/>
      <c r="B191" s="779" t="s">
        <v>323</v>
      </c>
      <c r="C191" s="780"/>
      <c r="D191" s="156">
        <f>IF(O181=0,0,IF(O185&gt;12,12,O185))</f>
        <v>0</v>
      </c>
      <c r="E191" s="156">
        <f>IF(O181=0,0,IF((O185-D191)&gt;12,12,(O185-D191)))</f>
        <v>0</v>
      </c>
      <c r="F191" s="156">
        <f>IF(O181=0,0,IF((O185-E191-D191)&gt;12,12,(O185-D191-E191)))</f>
        <v>0</v>
      </c>
      <c r="G191" s="156">
        <f>IF(O181=0,0,IF((O185-F191-E191-D191)&gt;12,12,(O185-E191-F191-D191)))</f>
        <v>0</v>
      </c>
      <c r="H191" s="156">
        <f>IF(O181=0,0,IF((O185-G191-F191-E191-D191)&gt;12,12,(O185-F191-G191-E191-D191)))</f>
        <v>0</v>
      </c>
      <c r="I191" s="156">
        <f>IF(O181=0,0,IF((O185-H191-G191-F191-E191-D191)&gt;12,12,(O185-G191-H191-F191-E191-D191)))</f>
        <v>0</v>
      </c>
      <c r="J191" s="156">
        <f>IF(O181=0,0,IF((O185-I191-H191-G191-F191-E191-D191)&gt;12,12,(O185-H191-I191-G191-F191-E191-D191)))</f>
        <v>0</v>
      </c>
      <c r="K191" s="156">
        <f>IF(O181=0,0,IF((O185-J191-I191-H191-G191-F191-E191-D191)&gt;12,12,(O185-I191-J191-H191-G191-F191-E191-D191)))</f>
        <v>0</v>
      </c>
      <c r="L191" s="156">
        <f>IF(O181=0,0,IF((O185-J191-I191-H191-G191-F191-E191-D191)&gt;12,12,(O185-I191-J191-H191-G191-F191-E191-D191-K191)))</f>
        <v>0</v>
      </c>
      <c r="M191" s="156">
        <f>IF(O181=0,0,IF((O185-J191-I191-H191-G191-F191-E191-D191)&gt;12,12,(O185-I191-J191-H191-G191-F191-E191-D191-K191-L191)))</f>
        <v>0</v>
      </c>
      <c r="O191" s="141"/>
    </row>
    <row r="192" spans="1:16" ht="15.75" thickBot="1">
      <c r="A192" s="776"/>
      <c r="B192" s="781" t="s">
        <v>324</v>
      </c>
      <c r="C192" s="782"/>
      <c r="D192" s="157">
        <f>+D190/12*D191</f>
        <v>0</v>
      </c>
      <c r="E192" s="157">
        <f t="shared" ref="E192:M192" si="15">+E190/12*E191</f>
        <v>0</v>
      </c>
      <c r="F192" s="157">
        <f t="shared" si="15"/>
        <v>0</v>
      </c>
      <c r="G192" s="157">
        <f t="shared" si="15"/>
        <v>0</v>
      </c>
      <c r="H192" s="157">
        <f t="shared" si="15"/>
        <v>0</v>
      </c>
      <c r="I192" s="157">
        <f t="shared" si="15"/>
        <v>0</v>
      </c>
      <c r="J192" s="157">
        <f t="shared" si="15"/>
        <v>0</v>
      </c>
      <c r="K192" s="157">
        <f t="shared" si="15"/>
        <v>0</v>
      </c>
      <c r="L192" s="157">
        <f t="shared" si="15"/>
        <v>0</v>
      </c>
      <c r="M192" s="157">
        <f t="shared" si="15"/>
        <v>0</v>
      </c>
      <c r="N192" s="158"/>
      <c r="O192" s="159"/>
    </row>
    <row r="193" spans="1:16">
      <c r="A193" s="774">
        <f>+'5.Equipments'!A19</f>
        <v>17</v>
      </c>
      <c r="B193" s="133">
        <f>IF('5.Equipments'!E19=0,0,'5.Equipments'!C19)</f>
        <v>0</v>
      </c>
      <c r="C193" s="134"/>
      <c r="D193" s="135">
        <v>3</v>
      </c>
      <c r="E193" s="135">
        <v>4</v>
      </c>
      <c r="F193" s="135">
        <v>5</v>
      </c>
      <c r="G193" s="135">
        <v>6</v>
      </c>
      <c r="H193" s="135">
        <v>7</v>
      </c>
      <c r="I193" s="135">
        <v>8</v>
      </c>
      <c r="J193" s="135">
        <v>9</v>
      </c>
      <c r="K193" s="135">
        <v>10</v>
      </c>
      <c r="L193" s="135">
        <v>11</v>
      </c>
      <c r="M193" s="135">
        <v>12</v>
      </c>
      <c r="N193" s="136" t="s">
        <v>299</v>
      </c>
      <c r="O193" s="137">
        <f>+O194/12</f>
        <v>0</v>
      </c>
    </row>
    <row r="194" spans="1:16">
      <c r="A194" s="775"/>
      <c r="B194" s="138" t="s">
        <v>302</v>
      </c>
      <c r="C194" s="139" t="s">
        <v>303</v>
      </c>
      <c r="D194" s="139" t="s">
        <v>304</v>
      </c>
      <c r="E194" s="139" t="s">
        <v>305</v>
      </c>
      <c r="F194" s="139" t="s">
        <v>306</v>
      </c>
      <c r="G194" s="139" t="s">
        <v>307</v>
      </c>
      <c r="H194" s="139" t="s">
        <v>308</v>
      </c>
      <c r="I194" s="139" t="s">
        <v>309</v>
      </c>
      <c r="J194" s="139" t="s">
        <v>310</v>
      </c>
      <c r="K194" s="139" t="s">
        <v>311</v>
      </c>
      <c r="L194" s="139" t="s">
        <v>312</v>
      </c>
      <c r="M194" s="139" t="s">
        <v>313</v>
      </c>
      <c r="N194" s="140" t="s">
        <v>314</v>
      </c>
      <c r="O194" s="141">
        <f>IFERROR(VLOOKUP(A193,Tabela8[[No.]:[Institution**]],4,0)*12,0)</f>
        <v>0</v>
      </c>
    </row>
    <row r="195" spans="1:16">
      <c r="A195" s="775"/>
      <c r="B195" s="138">
        <v>3</v>
      </c>
      <c r="C195" s="142">
        <v>0.5</v>
      </c>
      <c r="D195" s="143">
        <f>B193*C195</f>
        <v>0</v>
      </c>
      <c r="E195" s="143">
        <f>D195*C195</f>
        <v>0</v>
      </c>
      <c r="F195" s="143">
        <f>B193-D195-E195</f>
        <v>0</v>
      </c>
      <c r="G195" s="144"/>
      <c r="H195" s="144"/>
      <c r="I195" s="144"/>
      <c r="J195" s="144"/>
      <c r="K195" s="144"/>
      <c r="L195" s="144"/>
      <c r="M195" s="144"/>
      <c r="N195" s="145" t="s">
        <v>315</v>
      </c>
      <c r="O195" s="141">
        <f>+Info!B7</f>
        <v>36</v>
      </c>
    </row>
    <row r="196" spans="1:16">
      <c r="A196" s="775"/>
      <c r="B196" s="138">
        <v>4</v>
      </c>
      <c r="C196" s="142">
        <v>0.375</v>
      </c>
      <c r="D196" s="143">
        <f>B193*$C$4</f>
        <v>0</v>
      </c>
      <c r="E196" s="143">
        <f>(B193-D196)*C196</f>
        <v>0</v>
      </c>
      <c r="F196" s="143">
        <f>(+B193-D196-E196)/2</f>
        <v>0</v>
      </c>
      <c r="G196" s="143">
        <f>+F196</f>
        <v>0</v>
      </c>
      <c r="H196" s="144"/>
      <c r="I196" s="144"/>
      <c r="J196" s="144"/>
      <c r="K196" s="144"/>
      <c r="L196" s="144"/>
      <c r="M196" s="144"/>
      <c r="N196" s="145" t="s">
        <v>316</v>
      </c>
      <c r="O196" s="141" t="str">
        <f>VLOOKUP(A193,'5.Equipments'!$A$3:$E$22,5,0)</f>
        <v/>
      </c>
    </row>
    <row r="197" spans="1:16">
      <c r="A197" s="775"/>
      <c r="B197" s="138">
        <v>5</v>
      </c>
      <c r="C197" s="142">
        <v>0.4</v>
      </c>
      <c r="D197" s="143">
        <f>B193*$C$5</f>
        <v>0</v>
      </c>
      <c r="E197" s="143">
        <f>(B193-D197)*C197</f>
        <v>0</v>
      </c>
      <c r="F197" s="143">
        <f>(B193-D197-E197)*C197</f>
        <v>0</v>
      </c>
      <c r="G197" s="143">
        <f>(+B193-D197-E197-F197)/2</f>
        <v>0</v>
      </c>
      <c r="H197" s="143">
        <f>B193-D197-E197-F197-G197</f>
        <v>0</v>
      </c>
      <c r="I197" s="144"/>
      <c r="J197" s="144"/>
      <c r="K197" s="144"/>
      <c r="L197" s="144"/>
      <c r="M197" s="144"/>
      <c r="N197" t="s">
        <v>317</v>
      </c>
      <c r="O197" s="141" t="str">
        <f>+'5.Equipments'!F19</f>
        <v/>
      </c>
    </row>
    <row r="198" spans="1:16">
      <c r="A198" s="775"/>
      <c r="B198" s="138">
        <v>6</v>
      </c>
      <c r="C198" s="142">
        <v>0.33333333333333331</v>
      </c>
      <c r="D198" s="146">
        <f>B193*$C$6</f>
        <v>0</v>
      </c>
      <c r="E198" s="146">
        <f>(B193-D198)*C198</f>
        <v>0</v>
      </c>
      <c r="F198" s="146">
        <f>(B193-D198-E198)*C198</f>
        <v>0</v>
      </c>
      <c r="G198" s="146">
        <f>(B193-D198-E198-F198)*C198</f>
        <v>0</v>
      </c>
      <c r="H198" s="146">
        <f>(+B193-D198-E198-F198-G198)/2</f>
        <v>0</v>
      </c>
      <c r="I198" s="146">
        <f>B193-D198-E198-F198-G198-H198</f>
        <v>0</v>
      </c>
      <c r="J198" s="144"/>
      <c r="K198" s="144"/>
      <c r="L198" s="144"/>
      <c r="M198" s="144"/>
      <c r="N198" s="145" t="s">
        <v>318</v>
      </c>
      <c r="O198" s="147">
        <f>SUM(D204:M204)</f>
        <v>0</v>
      </c>
    </row>
    <row r="199" spans="1:16">
      <c r="A199" s="775"/>
      <c r="B199" s="138">
        <v>7</v>
      </c>
      <c r="C199" s="142">
        <v>0.3571428571428571</v>
      </c>
      <c r="D199" s="143">
        <f>B193*$C$7</f>
        <v>0</v>
      </c>
      <c r="E199" s="143">
        <f>(B193-D199)*C199</f>
        <v>0</v>
      </c>
      <c r="F199" s="143">
        <f>(B193-D199-E199)*C199</f>
        <v>0</v>
      </c>
      <c r="G199" s="143">
        <f>(B193-D199-E199-F199)*C199</f>
        <v>0</v>
      </c>
      <c r="H199" s="143">
        <f>(B193-D199-E199-F199-G199)*C199</f>
        <v>0</v>
      </c>
      <c r="I199" s="143">
        <f>(+B193-D199-E199-F199-G199-H199)/2</f>
        <v>0</v>
      </c>
      <c r="J199" s="143">
        <f>B193-D199-E199-F199-G199-H199-I199</f>
        <v>0</v>
      </c>
      <c r="K199" s="144"/>
      <c r="L199" s="144"/>
      <c r="M199" s="144"/>
      <c r="N199" s="149" t="s">
        <v>320</v>
      </c>
      <c r="O199" s="150">
        <f>(B193-O198)*1.23</f>
        <v>0</v>
      </c>
      <c r="P199" s="148" t="s">
        <v>321</v>
      </c>
    </row>
    <row r="200" spans="1:16">
      <c r="A200" s="775"/>
      <c r="B200" s="138">
        <v>8</v>
      </c>
      <c r="C200" s="142">
        <v>0.3125</v>
      </c>
      <c r="D200" s="143">
        <f>B193*$C$8</f>
        <v>0</v>
      </c>
      <c r="E200" s="143">
        <f>(B193-D200)*C200</f>
        <v>0</v>
      </c>
      <c r="F200" s="143">
        <f>(B193-D200-E200)*C200</f>
        <v>0</v>
      </c>
      <c r="G200" s="143">
        <f>(B193-D200-E200-F200)*C200</f>
        <v>0</v>
      </c>
      <c r="H200" s="143">
        <f>(B193-D200-E200-F200-G200)*C200</f>
        <v>0</v>
      </c>
      <c r="I200" s="143">
        <f>+(B193-D200-E200-F200-G200-H200)/3</f>
        <v>0</v>
      </c>
      <c r="J200" s="143">
        <f>+I200</f>
        <v>0</v>
      </c>
      <c r="K200" s="143">
        <f>+J200</f>
        <v>0</v>
      </c>
      <c r="L200" s="144"/>
      <c r="M200" s="144"/>
      <c r="O200" s="141"/>
    </row>
    <row r="201" spans="1:16">
      <c r="A201" s="775"/>
      <c r="B201" s="151">
        <v>10</v>
      </c>
      <c r="C201" s="152">
        <v>0.25</v>
      </c>
      <c r="D201" s="153">
        <f>B193*$C$9</f>
        <v>0</v>
      </c>
      <c r="E201" s="153">
        <f>(B193-D201)*C201</f>
        <v>0</v>
      </c>
      <c r="F201" s="153">
        <f>(B193-D201-E201)*C201</f>
        <v>0</v>
      </c>
      <c r="G201" s="153">
        <f>(B193-D201-E201-F201)*C201</f>
        <v>0</v>
      </c>
      <c r="H201" s="153">
        <f>(B193-D201-E201-F201-G201)*C201</f>
        <v>0</v>
      </c>
      <c r="I201" s="153">
        <f>+(B193-D201-E201-F201-G201-H201)/5</f>
        <v>0</v>
      </c>
      <c r="J201" s="153">
        <f>+I201</f>
        <v>0</v>
      </c>
      <c r="K201" s="153">
        <f>+J201</f>
        <v>0</v>
      </c>
      <c r="L201" s="153">
        <f>+K201</f>
        <v>0</v>
      </c>
      <c r="M201" s="154">
        <f>+L201</f>
        <v>0</v>
      </c>
      <c r="O201" s="141"/>
    </row>
    <row r="202" spans="1:16">
      <c r="A202" s="775"/>
      <c r="B202" s="777" t="s">
        <v>322</v>
      </c>
      <c r="C202" s="778"/>
      <c r="D202" s="155">
        <f>IF(O193=0,0,IF(O193=1,(D195+E195+F195),VLOOKUP($O193,$B195:$M201,D$1,0)))</f>
        <v>0</v>
      </c>
      <c r="E202" s="155">
        <f>IF(O193=0,0,IF(O193=1,0,VLOOKUP($O193,$B195:$M201,E$1,0)))</f>
        <v>0</v>
      </c>
      <c r="F202" s="155">
        <f>IF(O193=0,0,IF(O193=1,0,VLOOKUP($O193,$B195:$M201,F$1,0)))</f>
        <v>0</v>
      </c>
      <c r="G202" s="155">
        <f>IF(O193=0,0,IF(O193=1,0,VLOOKUP($O193,$B195:$M201,G$1,0)))</f>
        <v>0</v>
      </c>
      <c r="H202" s="155">
        <f>IF(O193=0,0,IF(O193=1,0,VLOOKUP($O193,$B195:$M201,H$1,0)))</f>
        <v>0</v>
      </c>
      <c r="I202" s="155">
        <f>IF(O193=0,0,IF(O193=1,0,VLOOKUP($O193,$B195:$M201,I$1,0)))</f>
        <v>0</v>
      </c>
      <c r="J202" s="155">
        <f>IF(O193=0,0,IF(O193=1,0,VLOOKUP($O193,$B195:$M201,J$1,0)))</f>
        <v>0</v>
      </c>
      <c r="K202" s="155">
        <f>IF(O193=0,0,IF(O193=1,0,VLOOKUP($O193,$B195:$M201,K$1,0)))</f>
        <v>0</v>
      </c>
      <c r="L202" s="155">
        <f>IF(O193=0,0,IF(O193=1,0,VLOOKUP($O193,$B195:$M201,L$1,0)))</f>
        <v>0</v>
      </c>
      <c r="M202" s="155">
        <f>IF(O193=0,0,IF(O193=1,0,VLOOKUP($O193,$B195:$M201,M$1,0)))</f>
        <v>0</v>
      </c>
      <c r="O202" s="141"/>
    </row>
    <row r="203" spans="1:16">
      <c r="A203" s="775"/>
      <c r="B203" s="779" t="s">
        <v>323</v>
      </c>
      <c r="C203" s="780"/>
      <c r="D203" s="156">
        <f>IF(O193=0,0,IF(O197&gt;12,12,O197))</f>
        <v>0</v>
      </c>
      <c r="E203" s="156">
        <f>IF(O193=0,0,IF((O197-D203)&gt;12,12,(O197-D203)))</f>
        <v>0</v>
      </c>
      <c r="F203" s="156">
        <f>IF(O193=0,0,IF((O197-E203-D203)&gt;12,12,(O197-D203-E203)))</f>
        <v>0</v>
      </c>
      <c r="G203" s="156">
        <f>IF(O193=0,0,IF((O197-F203-E203-D203)&gt;12,12,(O197-E203-F203-D203)))</f>
        <v>0</v>
      </c>
      <c r="H203" s="156">
        <f>IF(O193=0,0,IF((O197-G203-F203-E203-D203)&gt;12,12,(O197-F203-G203-E203-D203)))</f>
        <v>0</v>
      </c>
      <c r="I203" s="156">
        <f>IF(O193=0,0,IF((O197-H203-G203-F203-E203-D203)&gt;12,12,(O197-G203-H203-F203-E203-D203)))</f>
        <v>0</v>
      </c>
      <c r="J203" s="156">
        <f>IF(O193=0,0,IF((O197-I203-H203-G203-F203-E203-D203)&gt;12,12,(O197-H203-I203-G203-F203-E203-D203)))</f>
        <v>0</v>
      </c>
      <c r="K203" s="156">
        <f>IF(O193=0,0,IF((O197-J203-I203-H203-G203-F203-E203-D203)&gt;12,12,(O197-I203-J203-H203-G203-F203-E203-D203)))</f>
        <v>0</v>
      </c>
      <c r="L203" s="156">
        <f>IF(O193=0,0,IF((O197-J203-I203-H203-G203-F203-E203-D203)&gt;12,12,(O197-I203-J203-H203-G203-F203-E203-D203-K203)))</f>
        <v>0</v>
      </c>
      <c r="M203" s="156">
        <f>IF(O193=0,0,IF((O197-J203-I203-H203-G203-F203-E203-D203)&gt;12,12,(O197-I203-J203-H203-G203-F203-E203-D203-K203-L203)))</f>
        <v>0</v>
      </c>
      <c r="O203" s="141"/>
    </row>
    <row r="204" spans="1:16" ht="15.75" thickBot="1">
      <c r="A204" s="776"/>
      <c r="B204" s="781" t="s">
        <v>324</v>
      </c>
      <c r="C204" s="782"/>
      <c r="D204" s="157">
        <f>+D202/12*D203</f>
        <v>0</v>
      </c>
      <c r="E204" s="157">
        <f t="shared" ref="E204:M204" si="16">+E202/12*E203</f>
        <v>0</v>
      </c>
      <c r="F204" s="157">
        <f t="shared" si="16"/>
        <v>0</v>
      </c>
      <c r="G204" s="157">
        <f t="shared" si="16"/>
        <v>0</v>
      </c>
      <c r="H204" s="157">
        <f t="shared" si="16"/>
        <v>0</v>
      </c>
      <c r="I204" s="157">
        <f t="shared" si="16"/>
        <v>0</v>
      </c>
      <c r="J204" s="157">
        <f t="shared" si="16"/>
        <v>0</v>
      </c>
      <c r="K204" s="157">
        <f t="shared" si="16"/>
        <v>0</v>
      </c>
      <c r="L204" s="157">
        <f t="shared" si="16"/>
        <v>0</v>
      </c>
      <c r="M204" s="157">
        <f t="shared" si="16"/>
        <v>0</v>
      </c>
      <c r="N204" s="158"/>
      <c r="O204" s="159"/>
    </row>
    <row r="205" spans="1:16">
      <c r="A205" s="774">
        <f>+'5.Equipments'!A20</f>
        <v>18</v>
      </c>
      <c r="B205" s="133">
        <f>IF('5.Equipments'!E20=0,0,'5.Equipments'!C20)</f>
        <v>0</v>
      </c>
      <c r="C205" s="134"/>
      <c r="D205" s="135">
        <v>3</v>
      </c>
      <c r="E205" s="135">
        <v>4</v>
      </c>
      <c r="F205" s="135">
        <v>5</v>
      </c>
      <c r="G205" s="135">
        <v>6</v>
      </c>
      <c r="H205" s="135">
        <v>7</v>
      </c>
      <c r="I205" s="135">
        <v>8</v>
      </c>
      <c r="J205" s="135">
        <v>9</v>
      </c>
      <c r="K205" s="135">
        <v>10</v>
      </c>
      <c r="L205" s="135">
        <v>11</v>
      </c>
      <c r="M205" s="135">
        <v>12</v>
      </c>
      <c r="N205" s="136" t="s">
        <v>299</v>
      </c>
      <c r="O205" s="137">
        <f>+O206/12</f>
        <v>0</v>
      </c>
    </row>
    <row r="206" spans="1:16">
      <c r="A206" s="775"/>
      <c r="B206" s="138" t="s">
        <v>302</v>
      </c>
      <c r="C206" s="139" t="s">
        <v>303</v>
      </c>
      <c r="D206" s="139" t="s">
        <v>304</v>
      </c>
      <c r="E206" s="139" t="s">
        <v>305</v>
      </c>
      <c r="F206" s="139" t="s">
        <v>306</v>
      </c>
      <c r="G206" s="139" t="s">
        <v>307</v>
      </c>
      <c r="H206" s="139" t="s">
        <v>308</v>
      </c>
      <c r="I206" s="139" t="s">
        <v>309</v>
      </c>
      <c r="J206" s="139" t="s">
        <v>310</v>
      </c>
      <c r="K206" s="139" t="s">
        <v>311</v>
      </c>
      <c r="L206" s="139" t="s">
        <v>312</v>
      </c>
      <c r="M206" s="139" t="s">
        <v>313</v>
      </c>
      <c r="N206" s="140" t="s">
        <v>314</v>
      </c>
      <c r="O206" s="141">
        <f>IFERROR(VLOOKUP(A205,Tabela8[[No.]:[Institution**]],4,0)*12,0)</f>
        <v>0</v>
      </c>
    </row>
    <row r="207" spans="1:16">
      <c r="A207" s="775"/>
      <c r="B207" s="138">
        <v>3</v>
      </c>
      <c r="C207" s="142">
        <v>0.5</v>
      </c>
      <c r="D207" s="143">
        <f>B205*C207</f>
        <v>0</v>
      </c>
      <c r="E207" s="143">
        <f>D207*C207</f>
        <v>0</v>
      </c>
      <c r="F207" s="143">
        <f>B205-D207-E207</f>
        <v>0</v>
      </c>
      <c r="G207" s="144"/>
      <c r="H207" s="144"/>
      <c r="I207" s="144"/>
      <c r="J207" s="144"/>
      <c r="K207" s="144"/>
      <c r="L207" s="144"/>
      <c r="M207" s="144"/>
      <c r="N207" s="145" t="s">
        <v>315</v>
      </c>
      <c r="O207" s="141">
        <f>+Info!B7</f>
        <v>36</v>
      </c>
    </row>
    <row r="208" spans="1:16">
      <c r="A208" s="775"/>
      <c r="B208" s="138">
        <v>4</v>
      </c>
      <c r="C208" s="142">
        <v>0.375</v>
      </c>
      <c r="D208" s="143">
        <f>B205*$C$4</f>
        <v>0</v>
      </c>
      <c r="E208" s="143">
        <f>(B205-D208)*C208</f>
        <v>0</v>
      </c>
      <c r="F208" s="143">
        <f>(+B205-D208-E208)/2</f>
        <v>0</v>
      </c>
      <c r="G208" s="143">
        <f>+F208</f>
        <v>0</v>
      </c>
      <c r="H208" s="144"/>
      <c r="I208" s="144"/>
      <c r="J208" s="144"/>
      <c r="K208" s="144"/>
      <c r="L208" s="144"/>
      <c r="M208" s="144"/>
      <c r="N208" s="145" t="s">
        <v>316</v>
      </c>
      <c r="O208" s="141" t="str">
        <f>VLOOKUP(A205,'5.Equipments'!$A$3:$E$22,5,0)</f>
        <v/>
      </c>
    </row>
    <row r="209" spans="1:16">
      <c r="A209" s="775"/>
      <c r="B209" s="138">
        <v>5</v>
      </c>
      <c r="C209" s="142">
        <v>0.4</v>
      </c>
      <c r="D209" s="143">
        <f>B205*$C$5</f>
        <v>0</v>
      </c>
      <c r="E209" s="143">
        <f>(B205-D209)*C209</f>
        <v>0</v>
      </c>
      <c r="F209" s="143">
        <f>(B205-D209-E209)*C209</f>
        <v>0</v>
      </c>
      <c r="G209" s="143">
        <f>(+B205-D209-E209-F209)/2</f>
        <v>0</v>
      </c>
      <c r="H209" s="143">
        <f>B205-D209-E209-F209-G209</f>
        <v>0</v>
      </c>
      <c r="I209" s="144"/>
      <c r="J209" s="144"/>
      <c r="K209" s="144"/>
      <c r="L209" s="144"/>
      <c r="M209" s="144"/>
      <c r="N209" t="s">
        <v>317</v>
      </c>
      <c r="O209" s="141" t="str">
        <f>+'5.Equipments'!F20</f>
        <v/>
      </c>
    </row>
    <row r="210" spans="1:16">
      <c r="A210" s="775"/>
      <c r="B210" s="138">
        <v>6</v>
      </c>
      <c r="C210" s="142">
        <v>0.33333333333333331</v>
      </c>
      <c r="D210" s="146">
        <f>B205*$C$6</f>
        <v>0</v>
      </c>
      <c r="E210" s="146">
        <f>(B205-D210)*C210</f>
        <v>0</v>
      </c>
      <c r="F210" s="146">
        <f>(B205-D210-E210)*C210</f>
        <v>0</v>
      </c>
      <c r="G210" s="146">
        <f>(B205-D210-E210-F210)*C210</f>
        <v>0</v>
      </c>
      <c r="H210" s="146">
        <f>(+B205-D210-E210-F210-G210)/2</f>
        <v>0</v>
      </c>
      <c r="I210" s="146">
        <f>B205-D210-E210-F210-G210-H210</f>
        <v>0</v>
      </c>
      <c r="J210" s="144"/>
      <c r="K210" s="144"/>
      <c r="L210" s="144"/>
      <c r="M210" s="144"/>
      <c r="N210" s="145" t="s">
        <v>318</v>
      </c>
      <c r="O210" s="147">
        <f>SUM(D216:M216)</f>
        <v>0</v>
      </c>
    </row>
    <row r="211" spans="1:16">
      <c r="A211" s="775"/>
      <c r="B211" s="138">
        <v>7</v>
      </c>
      <c r="C211" s="142">
        <v>0.3571428571428571</v>
      </c>
      <c r="D211" s="143">
        <f>B205*$C$7</f>
        <v>0</v>
      </c>
      <c r="E211" s="143">
        <f>(B205-D211)*C211</f>
        <v>0</v>
      </c>
      <c r="F211" s="143">
        <f>(B205-D211-E211)*C211</f>
        <v>0</v>
      </c>
      <c r="G211" s="143">
        <f>(B205-D211-E211-F211)*C211</f>
        <v>0</v>
      </c>
      <c r="H211" s="143">
        <f>(B205-D211-E211-F211-G211)*C211</f>
        <v>0</v>
      </c>
      <c r="I211" s="143">
        <f>(+B205-D211-E211-F211-G211-H211)/2</f>
        <v>0</v>
      </c>
      <c r="J211" s="143">
        <f>B205-D211-E211-F211-G211-H211-I211</f>
        <v>0</v>
      </c>
      <c r="K211" s="144"/>
      <c r="L211" s="144"/>
      <c r="M211" s="144"/>
      <c r="N211" s="149" t="s">
        <v>320</v>
      </c>
      <c r="O211" s="150">
        <f>(B205-O210)*1.23</f>
        <v>0</v>
      </c>
      <c r="P211" s="148" t="s">
        <v>321</v>
      </c>
    </row>
    <row r="212" spans="1:16">
      <c r="A212" s="775"/>
      <c r="B212" s="138">
        <v>8</v>
      </c>
      <c r="C212" s="142">
        <v>0.3125</v>
      </c>
      <c r="D212" s="143">
        <f>B205*$C$8</f>
        <v>0</v>
      </c>
      <c r="E212" s="143">
        <f>(B205-D212)*C212</f>
        <v>0</v>
      </c>
      <c r="F212" s="143">
        <f>(B205-D212-E212)*C212</f>
        <v>0</v>
      </c>
      <c r="G212" s="143">
        <f>(B205-D212-E212-F212)*C212</f>
        <v>0</v>
      </c>
      <c r="H212" s="143">
        <f>(B205-D212-E212-F212-G212)*C212</f>
        <v>0</v>
      </c>
      <c r="I212" s="143">
        <f>+(B205-D212-E212-F212-G212-H212)/3</f>
        <v>0</v>
      </c>
      <c r="J212" s="143">
        <f>+I212</f>
        <v>0</v>
      </c>
      <c r="K212" s="143">
        <f>+J212</f>
        <v>0</v>
      </c>
      <c r="L212" s="144"/>
      <c r="M212" s="144"/>
      <c r="O212" s="141"/>
    </row>
    <row r="213" spans="1:16">
      <c r="A213" s="775"/>
      <c r="B213" s="151">
        <v>10</v>
      </c>
      <c r="C213" s="152">
        <v>0.25</v>
      </c>
      <c r="D213" s="153">
        <f>B205*$C$9</f>
        <v>0</v>
      </c>
      <c r="E213" s="153">
        <f>(B205-D213)*C213</f>
        <v>0</v>
      </c>
      <c r="F213" s="153">
        <f>(B205-D213-E213)*C213</f>
        <v>0</v>
      </c>
      <c r="G213" s="153">
        <f>(B205-D213-E213-F213)*C213</f>
        <v>0</v>
      </c>
      <c r="H213" s="153">
        <f>(B205-D213-E213-F213-G213)*C213</f>
        <v>0</v>
      </c>
      <c r="I213" s="153">
        <f>+(B205-D213-E213-F213-G213-H213)/5</f>
        <v>0</v>
      </c>
      <c r="J213" s="153">
        <f>+I213</f>
        <v>0</v>
      </c>
      <c r="K213" s="153">
        <f>+J213</f>
        <v>0</v>
      </c>
      <c r="L213" s="153">
        <f>+K213</f>
        <v>0</v>
      </c>
      <c r="M213" s="154">
        <f>+L213</f>
        <v>0</v>
      </c>
      <c r="O213" s="141"/>
    </row>
    <row r="214" spans="1:16">
      <c r="A214" s="775"/>
      <c r="B214" s="777" t="s">
        <v>322</v>
      </c>
      <c r="C214" s="778"/>
      <c r="D214" s="155">
        <f>IF(O205=0,0,IF(O205=1,(D207+E207+F207),VLOOKUP($O205,$B207:$M213,D$1,0)))</f>
        <v>0</v>
      </c>
      <c r="E214" s="155">
        <f>IF(O205=0,0,IF(O205=1,0,VLOOKUP($O205,$B207:$M213,E$1,0)))</f>
        <v>0</v>
      </c>
      <c r="F214" s="155">
        <f>IF(O205=0,0,IF(O205=1,0,VLOOKUP($O205,$B207:$M213,F$1,0)))</f>
        <v>0</v>
      </c>
      <c r="G214" s="155">
        <f>IF(O205=0,0,IF(O205=1,0,VLOOKUP($O205,$B207:$M213,G$1,0)))</f>
        <v>0</v>
      </c>
      <c r="H214" s="155">
        <f>IF(O205=0,0,IF(O205=1,0,VLOOKUP($O205,$B207:$M213,H$1,0)))</f>
        <v>0</v>
      </c>
      <c r="I214" s="155">
        <f>IF(O205=0,0,IF(O205=1,0,VLOOKUP($O205,$B207:$M213,I$1,0)))</f>
        <v>0</v>
      </c>
      <c r="J214" s="155">
        <f>IF(O205=0,0,IF(O205=1,0,VLOOKUP($O205,$B207:$M213,J$1,0)))</f>
        <v>0</v>
      </c>
      <c r="K214" s="155">
        <f>IF(O205=0,0,IF(O205=1,0,VLOOKUP($O205,$B207:$M213,K$1,0)))</f>
        <v>0</v>
      </c>
      <c r="L214" s="155">
        <f>IF(O205=0,0,IF(O205=1,0,VLOOKUP($O205,$B207:$M213,L$1,0)))</f>
        <v>0</v>
      </c>
      <c r="M214" s="155">
        <f>IF(O205=0,0,IF(O205=1,0,VLOOKUP($O205,$B207:$M213,M$1,0)))</f>
        <v>0</v>
      </c>
      <c r="O214" s="141"/>
    </row>
    <row r="215" spans="1:16">
      <c r="A215" s="775"/>
      <c r="B215" s="779" t="s">
        <v>323</v>
      </c>
      <c r="C215" s="780"/>
      <c r="D215" s="156">
        <f>IF(O205=0,0,IF(O209&gt;12,12,O209))</f>
        <v>0</v>
      </c>
      <c r="E215" s="156">
        <f>IF(O205=0,0,IF((O209-D215)&gt;12,12,(O209-D215)))</f>
        <v>0</v>
      </c>
      <c r="F215" s="156">
        <f>IF(O205=0,0,IF((O209-E215-D215)&gt;12,12,(O209-D215-E215)))</f>
        <v>0</v>
      </c>
      <c r="G215" s="156">
        <f>IF(O205=0,0,IF((O209-F215-E215-D215)&gt;12,12,(O209-E215-F215-D215)))</f>
        <v>0</v>
      </c>
      <c r="H215" s="156">
        <f>IF(O205=0,0,IF((O209-G215-F215-E215-D215)&gt;12,12,(O209-F215-G215-E215-D215)))</f>
        <v>0</v>
      </c>
      <c r="I215" s="156">
        <f>IF(O205=0,0,IF((O209-H215-G215-F215-E215-D215)&gt;12,12,(O209-G215-H215-F215-E215-D215)))</f>
        <v>0</v>
      </c>
      <c r="J215" s="156">
        <f>IF(O205=0,0,IF((O209-I215-H215-G215-F215-E215-D215)&gt;12,12,(O209-H215-I215-G215-F215-E215-D215)))</f>
        <v>0</v>
      </c>
      <c r="K215" s="156">
        <f>IF(O205=0,0,IF((O209-J215-I215-H215-G215-F215-E215-D215)&gt;12,12,(O209-I215-J215-H215-G215-F215-E215-D215)))</f>
        <v>0</v>
      </c>
      <c r="L215" s="156">
        <f>IF(O205=0,0,IF((O209-J215-I215-H215-G215-F215-E215-D215)&gt;12,12,(O209-I215-J215-H215-G215-F215-E215-D215-K215)))</f>
        <v>0</v>
      </c>
      <c r="M215" s="156">
        <f>IF(O205=0,0,IF((O209-J215-I215-H215-G215-F215-E215-D215)&gt;12,12,(O209-I215-J215-H215-G215-F215-E215-D215-K215-L215)))</f>
        <v>0</v>
      </c>
      <c r="O215" s="141"/>
    </row>
    <row r="216" spans="1:16" ht="15.75" thickBot="1">
      <c r="A216" s="776"/>
      <c r="B216" s="781" t="s">
        <v>324</v>
      </c>
      <c r="C216" s="782"/>
      <c r="D216" s="157">
        <f>+D214/12*D215</f>
        <v>0</v>
      </c>
      <c r="E216" s="157">
        <f t="shared" ref="E216:M216" si="17">+E214/12*E215</f>
        <v>0</v>
      </c>
      <c r="F216" s="157">
        <f t="shared" si="17"/>
        <v>0</v>
      </c>
      <c r="G216" s="157">
        <f t="shared" si="17"/>
        <v>0</v>
      </c>
      <c r="H216" s="157">
        <f t="shared" si="17"/>
        <v>0</v>
      </c>
      <c r="I216" s="157">
        <f t="shared" si="17"/>
        <v>0</v>
      </c>
      <c r="J216" s="157">
        <f t="shared" si="17"/>
        <v>0</v>
      </c>
      <c r="K216" s="157">
        <f t="shared" si="17"/>
        <v>0</v>
      </c>
      <c r="L216" s="157">
        <f t="shared" si="17"/>
        <v>0</v>
      </c>
      <c r="M216" s="157">
        <f t="shared" si="17"/>
        <v>0</v>
      </c>
      <c r="N216" s="158"/>
      <c r="O216" s="159"/>
    </row>
    <row r="217" spans="1:16">
      <c r="A217" s="774">
        <f>+'5.Equipments'!A21</f>
        <v>19</v>
      </c>
      <c r="B217" s="133">
        <f>IF('5.Equipments'!E21=0,0,'5.Equipments'!C21)</f>
        <v>0</v>
      </c>
      <c r="C217" s="134"/>
      <c r="D217" s="135">
        <v>3</v>
      </c>
      <c r="E217" s="135">
        <v>4</v>
      </c>
      <c r="F217" s="135">
        <v>5</v>
      </c>
      <c r="G217" s="135">
        <v>6</v>
      </c>
      <c r="H217" s="135">
        <v>7</v>
      </c>
      <c r="I217" s="135">
        <v>8</v>
      </c>
      <c r="J217" s="135">
        <v>9</v>
      </c>
      <c r="K217" s="135">
        <v>10</v>
      </c>
      <c r="L217" s="135">
        <v>11</v>
      </c>
      <c r="M217" s="135">
        <v>12</v>
      </c>
      <c r="N217" s="136" t="s">
        <v>299</v>
      </c>
      <c r="O217" s="137">
        <f>+O218/12</f>
        <v>0</v>
      </c>
    </row>
    <row r="218" spans="1:16">
      <c r="A218" s="775"/>
      <c r="B218" s="138" t="s">
        <v>302</v>
      </c>
      <c r="C218" s="139" t="s">
        <v>303</v>
      </c>
      <c r="D218" s="139" t="s">
        <v>304</v>
      </c>
      <c r="E218" s="139" t="s">
        <v>305</v>
      </c>
      <c r="F218" s="139" t="s">
        <v>306</v>
      </c>
      <c r="G218" s="139" t="s">
        <v>307</v>
      </c>
      <c r="H218" s="139" t="s">
        <v>308</v>
      </c>
      <c r="I218" s="139" t="s">
        <v>309</v>
      </c>
      <c r="J218" s="139" t="s">
        <v>310</v>
      </c>
      <c r="K218" s="139" t="s">
        <v>311</v>
      </c>
      <c r="L218" s="139" t="s">
        <v>312</v>
      </c>
      <c r="M218" s="139" t="s">
        <v>313</v>
      </c>
      <c r="N218" s="140" t="s">
        <v>314</v>
      </c>
      <c r="O218" s="141">
        <f>IFERROR(VLOOKUP(A217,Tabela8[[No.]:[Institution**]],4,0)*12,0)</f>
        <v>0</v>
      </c>
    </row>
    <row r="219" spans="1:16">
      <c r="A219" s="775"/>
      <c r="B219" s="138">
        <v>3</v>
      </c>
      <c r="C219" s="142">
        <v>0.5</v>
      </c>
      <c r="D219" s="143">
        <f>B217*C219</f>
        <v>0</v>
      </c>
      <c r="E219" s="143">
        <f>D219*C219</f>
        <v>0</v>
      </c>
      <c r="F219" s="143">
        <f>B217-D219-E219</f>
        <v>0</v>
      </c>
      <c r="G219" s="144"/>
      <c r="H219" s="144"/>
      <c r="I219" s="144"/>
      <c r="J219" s="144"/>
      <c r="K219" s="144"/>
      <c r="L219" s="144"/>
      <c r="M219" s="144"/>
      <c r="N219" s="145" t="s">
        <v>315</v>
      </c>
      <c r="O219" s="141">
        <f>+Info!B7</f>
        <v>36</v>
      </c>
    </row>
    <row r="220" spans="1:16">
      <c r="A220" s="775"/>
      <c r="B220" s="138">
        <v>4</v>
      </c>
      <c r="C220" s="142">
        <v>0.375</v>
      </c>
      <c r="D220" s="143">
        <f>B217*$C$4</f>
        <v>0</v>
      </c>
      <c r="E220" s="143">
        <f>(B217-D220)*C220</f>
        <v>0</v>
      </c>
      <c r="F220" s="143">
        <f>(+B217-D220-E220)/2</f>
        <v>0</v>
      </c>
      <c r="G220" s="143">
        <f>+F220</f>
        <v>0</v>
      </c>
      <c r="H220" s="144"/>
      <c r="I220" s="144"/>
      <c r="J220" s="144"/>
      <c r="K220" s="144"/>
      <c r="L220" s="144"/>
      <c r="M220" s="144"/>
      <c r="N220" s="145" t="s">
        <v>316</v>
      </c>
      <c r="O220" s="141" t="str">
        <f>VLOOKUP(A217,'5.Equipments'!$A$3:$E$22,5,0)</f>
        <v/>
      </c>
    </row>
    <row r="221" spans="1:16">
      <c r="A221" s="775"/>
      <c r="B221" s="138">
        <v>5</v>
      </c>
      <c r="C221" s="142">
        <v>0.4</v>
      </c>
      <c r="D221" s="143">
        <f>B217*$C$5</f>
        <v>0</v>
      </c>
      <c r="E221" s="143">
        <f>(B217-D221)*C221</f>
        <v>0</v>
      </c>
      <c r="F221" s="143">
        <f>(B217-D221-E221)*C221</f>
        <v>0</v>
      </c>
      <c r="G221" s="143">
        <f>(+B217-D221-E221-F221)/2</f>
        <v>0</v>
      </c>
      <c r="H221" s="143">
        <f>B217-D221-E221-F221-G221</f>
        <v>0</v>
      </c>
      <c r="I221" s="144"/>
      <c r="J221" s="144"/>
      <c r="K221" s="144"/>
      <c r="L221" s="144"/>
      <c r="M221" s="144"/>
      <c r="N221" t="s">
        <v>317</v>
      </c>
      <c r="O221" s="141" t="str">
        <f>+'5.Equipments'!F21</f>
        <v/>
      </c>
    </row>
    <row r="222" spans="1:16">
      <c r="A222" s="775"/>
      <c r="B222" s="138">
        <v>6</v>
      </c>
      <c r="C222" s="142">
        <v>0.33333333333333331</v>
      </c>
      <c r="D222" s="146">
        <f>B217*$C$6</f>
        <v>0</v>
      </c>
      <c r="E222" s="146">
        <f>(B217-D222)*C222</f>
        <v>0</v>
      </c>
      <c r="F222" s="146">
        <f>(B217-D222-E222)*C222</f>
        <v>0</v>
      </c>
      <c r="G222" s="146">
        <f>(B217-D222-E222-F222)*C222</f>
        <v>0</v>
      </c>
      <c r="H222" s="146">
        <f>(+B217-D222-E222-F222-G222)/2</f>
        <v>0</v>
      </c>
      <c r="I222" s="146">
        <f>B217-D222-E222-F222-G222-H222</f>
        <v>0</v>
      </c>
      <c r="J222" s="144"/>
      <c r="K222" s="144"/>
      <c r="L222" s="144"/>
      <c r="M222" s="144"/>
      <c r="N222" s="145" t="s">
        <v>318</v>
      </c>
      <c r="O222" s="147">
        <f>SUM(D228:M228)</f>
        <v>0</v>
      </c>
    </row>
    <row r="223" spans="1:16">
      <c r="A223" s="775"/>
      <c r="B223" s="138">
        <v>7</v>
      </c>
      <c r="C223" s="142">
        <v>0.3571428571428571</v>
      </c>
      <c r="D223" s="143">
        <f>B217*$C$7</f>
        <v>0</v>
      </c>
      <c r="E223" s="143">
        <f>(B217-D223)*C223</f>
        <v>0</v>
      </c>
      <c r="F223" s="143">
        <f>(B217-D223-E223)*C223</f>
        <v>0</v>
      </c>
      <c r="G223" s="143">
        <f>(B217-D223-E223-F223)*C223</f>
        <v>0</v>
      </c>
      <c r="H223" s="143">
        <f>(B217-D223-E223-F223-G223)*C223</f>
        <v>0</v>
      </c>
      <c r="I223" s="143">
        <f>(+B217-D223-E223-F223-G223-H223)/2</f>
        <v>0</v>
      </c>
      <c r="J223" s="143">
        <f>B217-D223-E223-F223-G223-H223-I223</f>
        <v>0</v>
      </c>
      <c r="K223" s="144"/>
      <c r="L223" s="144"/>
      <c r="M223" s="144"/>
      <c r="N223" s="149" t="s">
        <v>320</v>
      </c>
      <c r="O223" s="150">
        <f>(B217-O222)*1.23</f>
        <v>0</v>
      </c>
      <c r="P223" s="148" t="s">
        <v>321</v>
      </c>
    </row>
    <row r="224" spans="1:16">
      <c r="A224" s="775"/>
      <c r="B224" s="138">
        <v>8</v>
      </c>
      <c r="C224" s="142">
        <v>0.3125</v>
      </c>
      <c r="D224" s="143">
        <f>B217*$C$8</f>
        <v>0</v>
      </c>
      <c r="E224" s="143">
        <f>(B217-D224)*C224</f>
        <v>0</v>
      </c>
      <c r="F224" s="143">
        <f>(B217-D224-E224)*C224</f>
        <v>0</v>
      </c>
      <c r="G224" s="143">
        <f>(B217-D224-E224-F224)*C224</f>
        <v>0</v>
      </c>
      <c r="H224" s="143">
        <f>(B217-D224-E224-F224-G224)*C224</f>
        <v>0</v>
      </c>
      <c r="I224" s="143">
        <f>+(B217-D224-E224-F224-G224-H224)/3</f>
        <v>0</v>
      </c>
      <c r="J224" s="143">
        <f>+I224</f>
        <v>0</v>
      </c>
      <c r="K224" s="143">
        <f>+J224</f>
        <v>0</v>
      </c>
      <c r="L224" s="144"/>
      <c r="M224" s="144"/>
      <c r="O224" s="141"/>
    </row>
    <row r="225" spans="1:16">
      <c r="A225" s="775"/>
      <c r="B225" s="151">
        <v>10</v>
      </c>
      <c r="C225" s="152">
        <v>0.25</v>
      </c>
      <c r="D225" s="153">
        <f>B217*$C$9</f>
        <v>0</v>
      </c>
      <c r="E225" s="153">
        <f>(B217-D225)*C225</f>
        <v>0</v>
      </c>
      <c r="F225" s="153">
        <f>(B217-D225-E225)*C225</f>
        <v>0</v>
      </c>
      <c r="G225" s="153">
        <f>(B217-D225-E225-F225)*C225</f>
        <v>0</v>
      </c>
      <c r="H225" s="153">
        <f>(B217-D225-E225-F225-G225)*C225</f>
        <v>0</v>
      </c>
      <c r="I225" s="153">
        <f>+(B217-D225-E225-F225-G225-H225)/5</f>
        <v>0</v>
      </c>
      <c r="J225" s="153">
        <f>+I225</f>
        <v>0</v>
      </c>
      <c r="K225" s="153">
        <f>+J225</f>
        <v>0</v>
      </c>
      <c r="L225" s="153">
        <f>+K225</f>
        <v>0</v>
      </c>
      <c r="M225" s="154">
        <f>+L225</f>
        <v>0</v>
      </c>
      <c r="O225" s="141"/>
    </row>
    <row r="226" spans="1:16">
      <c r="A226" s="775"/>
      <c r="B226" s="777" t="s">
        <v>322</v>
      </c>
      <c r="C226" s="778"/>
      <c r="D226" s="155">
        <f>IF(O217=0,0,IF(O217=1,(D219+E219+F219),VLOOKUP($O217,$B219:$M225,D$1,0)))</f>
        <v>0</v>
      </c>
      <c r="E226" s="155">
        <f>IF(O217=0,0,IF(O217=1,0,VLOOKUP($O217,$B219:$M225,E$1,0)))</f>
        <v>0</v>
      </c>
      <c r="F226" s="155">
        <f>IF(O217=0,0,IF(O217=1,0,VLOOKUP($O217,$B219:$M225,F$1,0)))</f>
        <v>0</v>
      </c>
      <c r="G226" s="155">
        <f>IF(O217=0,0,IF(O217=1,0,VLOOKUP($O217,$B219:$M225,G$1,0)))</f>
        <v>0</v>
      </c>
      <c r="H226" s="155">
        <f>IF(O217=0,0,IF(O217=1,0,VLOOKUP($O217,$B219:$M225,H$1,0)))</f>
        <v>0</v>
      </c>
      <c r="I226" s="155">
        <f>IF(O217=0,0,IF(O217=1,0,VLOOKUP($O217,$B219:$M225,I$1,0)))</f>
        <v>0</v>
      </c>
      <c r="J226" s="155">
        <f>IF(O217=0,0,IF(O217=1,0,VLOOKUP($O217,$B219:$M225,J$1,0)))</f>
        <v>0</v>
      </c>
      <c r="K226" s="155">
        <f>IF(O217=0,0,IF(O217=1,0,VLOOKUP($O217,$B219:$M225,K$1,0)))</f>
        <v>0</v>
      </c>
      <c r="L226" s="155">
        <f>IF(O217=0,0,IF(O217=1,0,VLOOKUP($O217,$B219:$M225,L$1,0)))</f>
        <v>0</v>
      </c>
      <c r="M226" s="155">
        <f>IF(O217=0,0,IF(O217=1,0,VLOOKUP($O217,$B219:$M225,M$1,0)))</f>
        <v>0</v>
      </c>
      <c r="O226" s="141"/>
    </row>
    <row r="227" spans="1:16">
      <c r="A227" s="775"/>
      <c r="B227" s="779" t="s">
        <v>323</v>
      </c>
      <c r="C227" s="780"/>
      <c r="D227" s="156">
        <f>IF(O217=0,0,IF(O221&gt;12,12,O221))</f>
        <v>0</v>
      </c>
      <c r="E227" s="156">
        <f>IF(O217=0,0,IF((O221-D227)&gt;12,12,(O221-D227)))</f>
        <v>0</v>
      </c>
      <c r="F227" s="156">
        <f>IF(O217=0,0,IF((O221-E227-D227)&gt;12,12,(O221-D227-E227)))</f>
        <v>0</v>
      </c>
      <c r="G227" s="156">
        <f>IF(O217=0,0,IF((O221-F227-E227-D227)&gt;12,12,(O221-E227-F227-D227)))</f>
        <v>0</v>
      </c>
      <c r="H227" s="156">
        <f>IF(O217=0,0,IF((O221-G227-F227-E227-D227)&gt;12,12,(O221-F227-G227-E227-D227)))</f>
        <v>0</v>
      </c>
      <c r="I227" s="156">
        <f>IF(O217=0,0,IF((O221-H227-G227-F227-E227-D227)&gt;12,12,(O221-G227-H227-F227-E227-D227)))</f>
        <v>0</v>
      </c>
      <c r="J227" s="156">
        <f>IF(O217=0,0,IF((O221-I227-H227-G227-F227-E227-D227)&gt;12,12,(O221-H227-I227-G227-F227-E227-D227)))</f>
        <v>0</v>
      </c>
      <c r="K227" s="156">
        <f>IF(O217=0,0,IF((O221-J227-I227-H227-G227-F227-E227-D227)&gt;12,12,(O221-I227-J227-H227-G227-F227-E227-D227)))</f>
        <v>0</v>
      </c>
      <c r="L227" s="156">
        <f>IF(O217=0,0,IF((O221-J227-I227-H227-G227-F227-E227-D227)&gt;12,12,(O221-I227-J227-H227-G227-F227-E227-D227-K227)))</f>
        <v>0</v>
      </c>
      <c r="M227" s="156">
        <f>IF(O217=0,0,IF((O221-J227-I227-H227-G227-F227-E227-D227)&gt;12,12,(O221-I227-J227-H227-G227-F227-E227-D227-K227-L227)))</f>
        <v>0</v>
      </c>
      <c r="O227" s="141"/>
    </row>
    <row r="228" spans="1:16" ht="15.75" thickBot="1">
      <c r="A228" s="776"/>
      <c r="B228" s="781" t="s">
        <v>324</v>
      </c>
      <c r="C228" s="782"/>
      <c r="D228" s="157">
        <f>+D226/12*D227</f>
        <v>0</v>
      </c>
      <c r="E228" s="157">
        <f t="shared" ref="E228:M228" si="18">+E226/12*E227</f>
        <v>0</v>
      </c>
      <c r="F228" s="157">
        <f t="shared" si="18"/>
        <v>0</v>
      </c>
      <c r="G228" s="157">
        <f t="shared" si="18"/>
        <v>0</v>
      </c>
      <c r="H228" s="157">
        <f t="shared" si="18"/>
        <v>0</v>
      </c>
      <c r="I228" s="157">
        <f t="shared" si="18"/>
        <v>0</v>
      </c>
      <c r="J228" s="157">
        <f t="shared" si="18"/>
        <v>0</v>
      </c>
      <c r="K228" s="157">
        <f t="shared" si="18"/>
        <v>0</v>
      </c>
      <c r="L228" s="157">
        <f t="shared" si="18"/>
        <v>0</v>
      </c>
      <c r="M228" s="157">
        <f t="shared" si="18"/>
        <v>0</v>
      </c>
      <c r="N228" s="158"/>
      <c r="O228" s="159"/>
    </row>
    <row r="229" spans="1:16">
      <c r="A229" s="783">
        <f>+'5.Equipments'!A22</f>
        <v>20</v>
      </c>
      <c r="B229" s="133">
        <f>IF('5.Equipments'!E22=0,0,'5.Equipments'!C22)</f>
        <v>0</v>
      </c>
      <c r="C229" s="134"/>
      <c r="D229" s="135">
        <v>3</v>
      </c>
      <c r="E229" s="135">
        <v>4</v>
      </c>
      <c r="F229" s="135">
        <v>5</v>
      </c>
      <c r="G229" s="135">
        <v>6</v>
      </c>
      <c r="H229" s="135">
        <v>7</v>
      </c>
      <c r="I229" s="135">
        <v>8</v>
      </c>
      <c r="J229" s="135">
        <v>9</v>
      </c>
      <c r="K229" s="135">
        <v>10</v>
      </c>
      <c r="L229" s="135">
        <v>11</v>
      </c>
      <c r="M229" s="135">
        <v>12</v>
      </c>
      <c r="N229" s="136" t="s">
        <v>299</v>
      </c>
      <c r="O229" s="137">
        <f>+O230/12</f>
        <v>0</v>
      </c>
    </row>
    <row r="230" spans="1:16">
      <c r="A230" s="784"/>
      <c r="B230" s="138" t="s">
        <v>302</v>
      </c>
      <c r="C230" s="139" t="s">
        <v>303</v>
      </c>
      <c r="D230" s="139" t="s">
        <v>304</v>
      </c>
      <c r="E230" s="139" t="s">
        <v>305</v>
      </c>
      <c r="F230" s="139" t="s">
        <v>306</v>
      </c>
      <c r="G230" s="139" t="s">
        <v>307</v>
      </c>
      <c r="H230" s="139" t="s">
        <v>308</v>
      </c>
      <c r="I230" s="139" t="s">
        <v>309</v>
      </c>
      <c r="J230" s="139" t="s">
        <v>310</v>
      </c>
      <c r="K230" s="139" t="s">
        <v>311</v>
      </c>
      <c r="L230" s="139" t="s">
        <v>312</v>
      </c>
      <c r="M230" s="139" t="s">
        <v>313</v>
      </c>
      <c r="N230" s="140" t="s">
        <v>314</v>
      </c>
      <c r="O230" s="141">
        <f>IFERROR(VLOOKUP(A229,Tabela8[[No.]:[Institution**]],4,0)*12,0)</f>
        <v>0</v>
      </c>
    </row>
    <row r="231" spans="1:16">
      <c r="A231" s="784"/>
      <c r="B231" s="138">
        <v>3</v>
      </c>
      <c r="C231" s="142">
        <v>0.5</v>
      </c>
      <c r="D231" s="143">
        <f>B229*C231</f>
        <v>0</v>
      </c>
      <c r="E231" s="143">
        <f>D231*C231</f>
        <v>0</v>
      </c>
      <c r="F231" s="143">
        <f>B229-D231-E231</f>
        <v>0</v>
      </c>
      <c r="G231" s="144"/>
      <c r="H231" s="144"/>
      <c r="I231" s="144"/>
      <c r="J231" s="144"/>
      <c r="K231" s="144"/>
      <c r="L231" s="144"/>
      <c r="M231" s="144"/>
      <c r="N231" s="145" t="s">
        <v>315</v>
      </c>
      <c r="O231" s="141">
        <f>+Info!B7</f>
        <v>36</v>
      </c>
    </row>
    <row r="232" spans="1:16">
      <c r="A232" s="784"/>
      <c r="B232" s="138">
        <v>4</v>
      </c>
      <c r="C232" s="142">
        <v>0.375</v>
      </c>
      <c r="D232" s="143">
        <f>B229*$C$4</f>
        <v>0</v>
      </c>
      <c r="E232" s="143">
        <f>(B229-D232)*C232</f>
        <v>0</v>
      </c>
      <c r="F232" s="143">
        <f>(+B229-D232-E232)/2</f>
        <v>0</v>
      </c>
      <c r="G232" s="143">
        <f>+F232</f>
        <v>0</v>
      </c>
      <c r="H232" s="144"/>
      <c r="I232" s="144"/>
      <c r="J232" s="144"/>
      <c r="K232" s="144"/>
      <c r="L232" s="144"/>
      <c r="M232" s="144"/>
      <c r="N232" s="145" t="s">
        <v>316</v>
      </c>
      <c r="O232" s="141" t="str">
        <f>VLOOKUP(A229,'5.Equipments'!$A$3:$E$22,5,0)</f>
        <v/>
      </c>
    </row>
    <row r="233" spans="1:16">
      <c r="A233" s="784"/>
      <c r="B233" s="138">
        <v>5</v>
      </c>
      <c r="C233" s="142">
        <v>0.4</v>
      </c>
      <c r="D233" s="143">
        <f>B229*$C$5</f>
        <v>0</v>
      </c>
      <c r="E233" s="143">
        <f>(B229-D233)*C233</f>
        <v>0</v>
      </c>
      <c r="F233" s="143">
        <f>(B229-D233-E233)*C233</f>
        <v>0</v>
      </c>
      <c r="G233" s="143">
        <f>(+B229-D233-E233-F233)/2</f>
        <v>0</v>
      </c>
      <c r="H233" s="143">
        <f>B229-D233-E233-F233-G233</f>
        <v>0</v>
      </c>
      <c r="I233" s="144"/>
      <c r="J233" s="144"/>
      <c r="K233" s="144"/>
      <c r="L233" s="144"/>
      <c r="M233" s="144"/>
      <c r="N233" t="s">
        <v>317</v>
      </c>
      <c r="O233" s="141" t="str">
        <f>+'5.Equipments'!F22</f>
        <v/>
      </c>
    </row>
    <row r="234" spans="1:16">
      <c r="A234" s="784"/>
      <c r="B234" s="138">
        <v>6</v>
      </c>
      <c r="C234" s="142">
        <v>0.33333333333333331</v>
      </c>
      <c r="D234" s="146">
        <f>B229*$C$6</f>
        <v>0</v>
      </c>
      <c r="E234" s="146">
        <f>(B229-D234)*C234</f>
        <v>0</v>
      </c>
      <c r="F234" s="146">
        <f>(B229-D234-E234)*C234</f>
        <v>0</v>
      </c>
      <c r="G234" s="146">
        <f>(B229-D234-E234-F234)*C234</f>
        <v>0</v>
      </c>
      <c r="H234" s="146">
        <f>(+B229-D234-E234-F234-G234)/2</f>
        <v>0</v>
      </c>
      <c r="I234" s="146">
        <f>B229-D234-E234-F234-G234-H234</f>
        <v>0</v>
      </c>
      <c r="J234" s="144"/>
      <c r="K234" s="144"/>
      <c r="L234" s="144"/>
      <c r="M234" s="144"/>
      <c r="N234" s="145" t="s">
        <v>318</v>
      </c>
      <c r="O234" s="147">
        <f>SUM(D240:M240)</f>
        <v>0</v>
      </c>
    </row>
    <row r="235" spans="1:16">
      <c r="A235" s="784"/>
      <c r="B235" s="138">
        <v>7</v>
      </c>
      <c r="C235" s="142">
        <v>0.3571428571428571</v>
      </c>
      <c r="D235" s="143">
        <f>B229*$C$7</f>
        <v>0</v>
      </c>
      <c r="E235" s="143">
        <f>(B229-D235)*C235</f>
        <v>0</v>
      </c>
      <c r="F235" s="143">
        <f>(B229-D235-E235)*C235</f>
        <v>0</v>
      </c>
      <c r="G235" s="143">
        <f>(B229-D235-E235-F235)*C235</f>
        <v>0</v>
      </c>
      <c r="H235" s="143">
        <f>(B229-D235-E235-F235-G235)*C235</f>
        <v>0</v>
      </c>
      <c r="I235" s="143">
        <f>(+B229-D235-E235-F235-G235-H235)/2</f>
        <v>0</v>
      </c>
      <c r="J235" s="143">
        <f>B229-D235-E235-F235-G235-H235-I235</f>
        <v>0</v>
      </c>
      <c r="K235" s="144"/>
      <c r="L235" s="144"/>
      <c r="M235" s="144"/>
      <c r="N235" s="149" t="s">
        <v>320</v>
      </c>
      <c r="O235" s="150">
        <f>(B229-O234)*1.23</f>
        <v>0</v>
      </c>
      <c r="P235" s="148" t="s">
        <v>321</v>
      </c>
    </row>
    <row r="236" spans="1:16">
      <c r="A236" s="784"/>
      <c r="B236" s="138">
        <v>8</v>
      </c>
      <c r="C236" s="142">
        <v>0.3125</v>
      </c>
      <c r="D236" s="143">
        <f>B229*$C$8</f>
        <v>0</v>
      </c>
      <c r="E236" s="143">
        <f>(B229-D236)*C236</f>
        <v>0</v>
      </c>
      <c r="F236" s="143">
        <f>(B229-D236-E236)*C236</f>
        <v>0</v>
      </c>
      <c r="G236" s="143">
        <f>(B229-D236-E236-F236)*C236</f>
        <v>0</v>
      </c>
      <c r="H236" s="143">
        <f>(B229-D236-E236-F236-G236)*C236</f>
        <v>0</v>
      </c>
      <c r="I236" s="143">
        <f>+(B229-D236-E236-F236-G236-H236)/3</f>
        <v>0</v>
      </c>
      <c r="J236" s="143">
        <f>+I236</f>
        <v>0</v>
      </c>
      <c r="K236" s="143">
        <f>+J236</f>
        <v>0</v>
      </c>
      <c r="L236" s="144"/>
      <c r="M236" s="144"/>
      <c r="O236" s="141"/>
    </row>
    <row r="237" spans="1:16">
      <c r="A237" s="784"/>
      <c r="B237" s="151">
        <v>10</v>
      </c>
      <c r="C237" s="152">
        <v>0.25</v>
      </c>
      <c r="D237" s="153">
        <f>B229*$C$9</f>
        <v>0</v>
      </c>
      <c r="E237" s="153">
        <f>(B229-D237)*C237</f>
        <v>0</v>
      </c>
      <c r="F237" s="153">
        <f>(B229-D237-E237)*C237</f>
        <v>0</v>
      </c>
      <c r="G237" s="153">
        <f>(B229-D237-E237-F237)*C237</f>
        <v>0</v>
      </c>
      <c r="H237" s="153">
        <f>(B229-D237-E237-F237-G237)*C237</f>
        <v>0</v>
      </c>
      <c r="I237" s="153">
        <f>+(B229-D237-E237-F237-G237-H237)/5</f>
        <v>0</v>
      </c>
      <c r="J237" s="153">
        <f>+I237</f>
        <v>0</v>
      </c>
      <c r="K237" s="153">
        <f>+J237</f>
        <v>0</v>
      </c>
      <c r="L237" s="153">
        <f>+K237</f>
        <v>0</v>
      </c>
      <c r="M237" s="154">
        <f>+L237</f>
        <v>0</v>
      </c>
      <c r="O237" s="141"/>
    </row>
    <row r="238" spans="1:16">
      <c r="A238" s="784"/>
      <c r="B238" s="786" t="s">
        <v>322</v>
      </c>
      <c r="C238" s="786"/>
      <c r="D238" s="155">
        <f>IF(O229=0,0,IF(O229=1,(D231+E231+F231),VLOOKUP($O229,$B231:$M237,D$1,0)))</f>
        <v>0</v>
      </c>
      <c r="E238" s="155">
        <f>IF(O229=0,0,IF(O229=1,0,VLOOKUP($O229,$B231:$M237,E$1,0)))</f>
        <v>0</v>
      </c>
      <c r="F238" s="155">
        <f>IF(O229=0,0,IF(O229=1,0,VLOOKUP($O229,$B231:$M237,F$1,0)))</f>
        <v>0</v>
      </c>
      <c r="G238" s="155">
        <f>IF(O229=0,0,IF(O229=1,0,VLOOKUP($O229,$B231:$M237,G$1,0)))</f>
        <v>0</v>
      </c>
      <c r="H238" s="155">
        <f>IF(O229=0,0,IF(O229=1,0,VLOOKUP($O229,$B231:$M237,H$1,0)))</f>
        <v>0</v>
      </c>
      <c r="I238" s="155">
        <f>IF(O229=0,0,IF(O229=1,0,VLOOKUP($O229,$B231:$M237,I$1,0)))</f>
        <v>0</v>
      </c>
      <c r="J238" s="155">
        <f>IF(O229=0,0,IF(O229=1,0,VLOOKUP($O229,$B231:$M237,J$1,0)))</f>
        <v>0</v>
      </c>
      <c r="K238" s="155">
        <f>IF(O229=0,0,IF(O229=1,0,VLOOKUP($O229,$B231:$M237,K$1,0)))</f>
        <v>0</v>
      </c>
      <c r="L238" s="155">
        <f>IF(O229=0,0,IF(O229=1,0,VLOOKUP($O229,$B231:$M237,L$1,0)))</f>
        <v>0</v>
      </c>
      <c r="M238" s="155">
        <f>IF(O229=0,0,IF(O229=1,0,VLOOKUP($O229,$B231:$M237,M$1,0)))</f>
        <v>0</v>
      </c>
      <c r="O238" s="141"/>
    </row>
    <row r="239" spans="1:16">
      <c r="A239" s="784"/>
      <c r="B239" s="787" t="s">
        <v>323</v>
      </c>
      <c r="C239" s="787"/>
      <c r="D239" s="156">
        <f>IF(O229=0,0,IF(O233&gt;12,12,O233))</f>
        <v>0</v>
      </c>
      <c r="E239" s="156">
        <f>IF(O229=0,0,IF((O233-D239)&gt;12,12,(O233-D239)))</f>
        <v>0</v>
      </c>
      <c r="F239" s="156">
        <f>IF(O229=0,0,IF((O233-E239-D239)&gt;12,12,(O233-D239-E239)))</f>
        <v>0</v>
      </c>
      <c r="G239" s="156">
        <f>IF(O229=0,0,IF((O233-F239-E239-D239)&gt;12,12,(O233-E239-F239-D239)))</f>
        <v>0</v>
      </c>
      <c r="H239" s="156">
        <f>IF(O229=0,0,IF((O233-G239-F239-E239-D239)&gt;12,12,(O233-F239-G239-E239-D239)))</f>
        <v>0</v>
      </c>
      <c r="I239" s="156">
        <f>IF(O229=0,0,IF((O233-H239-G239-F239-E239-D239)&gt;12,12,(O233-G239-H239-F239-E239-D239)))</f>
        <v>0</v>
      </c>
      <c r="J239" s="156">
        <f>IF(O229=0,0,IF((O233-I239-H239-G239-F239-E239-D239)&gt;12,12,(O233-H239-I239-G239-F239-E239-D239)))</f>
        <v>0</v>
      </c>
      <c r="K239" s="156">
        <f>IF(O229=0,0,IF((O233-J239-I239-H239-G239-F239-E239-D239)&gt;12,12,(O233-I239-J239-H239-G239-F239-E239-D239)))</f>
        <v>0</v>
      </c>
      <c r="L239" s="156">
        <f>IF(O229=0,0,IF((O233-J239-I239-H239-G239-F239-E239-D239)&gt;12,12,(O233-I239-J239-H239-G239-F239-E239-D239-K239)))</f>
        <v>0</v>
      </c>
      <c r="M239" s="156">
        <f>IF(O229=0,0,IF((O233-J239-I239-H239-G239-F239-E239-D239)&gt;12,12,(O233-I239-J239-H239-G239-F239-E239-D239-K239-L239)))</f>
        <v>0</v>
      </c>
      <c r="O239" s="141"/>
    </row>
    <row r="240" spans="1:16" ht="15.75" thickBot="1">
      <c r="A240" s="785"/>
      <c r="B240" s="788" t="s">
        <v>324</v>
      </c>
      <c r="C240" s="788"/>
      <c r="D240" s="157">
        <f>+D238/12*D239</f>
        <v>0</v>
      </c>
      <c r="E240" s="157">
        <f t="shared" ref="E240:M240" si="19">+E238/12*E239</f>
        <v>0</v>
      </c>
      <c r="F240" s="157">
        <f t="shared" si="19"/>
        <v>0</v>
      </c>
      <c r="G240" s="157">
        <f t="shared" si="19"/>
        <v>0</v>
      </c>
      <c r="H240" s="157">
        <f t="shared" si="19"/>
        <v>0</v>
      </c>
      <c r="I240" s="157">
        <f t="shared" si="19"/>
        <v>0</v>
      </c>
      <c r="J240" s="157">
        <f t="shared" si="19"/>
        <v>0</v>
      </c>
      <c r="K240" s="157">
        <f t="shared" si="19"/>
        <v>0</v>
      </c>
      <c r="L240" s="157">
        <f t="shared" si="19"/>
        <v>0</v>
      </c>
      <c r="M240" s="157">
        <f t="shared" si="19"/>
        <v>0</v>
      </c>
      <c r="N240" s="158"/>
      <c r="O240" s="159"/>
    </row>
  </sheetData>
  <sheetProtection algorithmName="SHA-512" hashValue="7W/knw3RLbZnIQssZ14M6wQRbNzx9DAYy4wT2UN16NIRDEN1Ho5g2kUs6X2F7HM85cBhLQOgT4PAilm62s6n8A==" saltValue="OcQXnkG4NyFqbnKQ45NQeA==" spinCount="100000" sheet="1" objects="1" scenarios="1"/>
  <autoFilter ref="A1:V240" xr:uid="{4402E516-D47E-405C-A0E7-3E579A6534A5}"/>
  <mergeCells count="81">
    <mergeCell ref="A1:A12"/>
    <mergeCell ref="B10:C10"/>
    <mergeCell ref="B11:C11"/>
    <mergeCell ref="B12:C12"/>
    <mergeCell ref="A13:A24"/>
    <mergeCell ref="B22:C22"/>
    <mergeCell ref="B23:C23"/>
    <mergeCell ref="B24:C24"/>
    <mergeCell ref="A25:A36"/>
    <mergeCell ref="B34:C34"/>
    <mergeCell ref="B35:C35"/>
    <mergeCell ref="B36:C36"/>
    <mergeCell ref="A37:A48"/>
    <mergeCell ref="B46:C46"/>
    <mergeCell ref="B47:C47"/>
    <mergeCell ref="B48:C48"/>
    <mergeCell ref="A49:A60"/>
    <mergeCell ref="B58:C58"/>
    <mergeCell ref="B59:C59"/>
    <mergeCell ref="B60:C60"/>
    <mergeCell ref="A61:A72"/>
    <mergeCell ref="B70:C70"/>
    <mergeCell ref="B71:C71"/>
    <mergeCell ref="B72:C72"/>
    <mergeCell ref="A73:A84"/>
    <mergeCell ref="B82:C82"/>
    <mergeCell ref="B83:C83"/>
    <mergeCell ref="B84:C84"/>
    <mergeCell ref="A85:A96"/>
    <mergeCell ref="B94:C94"/>
    <mergeCell ref="B95:C95"/>
    <mergeCell ref="B96:C96"/>
    <mergeCell ref="A97:A108"/>
    <mergeCell ref="B106:C106"/>
    <mergeCell ref="B107:C107"/>
    <mergeCell ref="B108:C108"/>
    <mergeCell ref="A109:A120"/>
    <mergeCell ref="B118:C118"/>
    <mergeCell ref="B119:C119"/>
    <mergeCell ref="B120:C120"/>
    <mergeCell ref="A121:A132"/>
    <mergeCell ref="B130:C130"/>
    <mergeCell ref="B131:C131"/>
    <mergeCell ref="B132:C132"/>
    <mergeCell ref="A133:A144"/>
    <mergeCell ref="B142:C142"/>
    <mergeCell ref="B143:C143"/>
    <mergeCell ref="B144:C144"/>
    <mergeCell ref="B156:C156"/>
    <mergeCell ref="A157:A168"/>
    <mergeCell ref="B166:C166"/>
    <mergeCell ref="B167:C167"/>
    <mergeCell ref="B168:C168"/>
    <mergeCell ref="A229:A240"/>
    <mergeCell ref="B238:C238"/>
    <mergeCell ref="B239:C239"/>
    <mergeCell ref="B240:C240"/>
    <mergeCell ref="A193:A204"/>
    <mergeCell ref="B202:C202"/>
    <mergeCell ref="B203:C203"/>
    <mergeCell ref="B204:C204"/>
    <mergeCell ref="A205:A216"/>
    <mergeCell ref="B214:C214"/>
    <mergeCell ref="B215:C215"/>
    <mergeCell ref="B216:C216"/>
    <mergeCell ref="P5:T5"/>
    <mergeCell ref="A217:A228"/>
    <mergeCell ref="B226:C226"/>
    <mergeCell ref="B227:C227"/>
    <mergeCell ref="B228:C228"/>
    <mergeCell ref="A169:A180"/>
    <mergeCell ref="B178:C178"/>
    <mergeCell ref="B179:C179"/>
    <mergeCell ref="B180:C180"/>
    <mergeCell ref="A181:A192"/>
    <mergeCell ref="B190:C190"/>
    <mergeCell ref="B191:C191"/>
    <mergeCell ref="B192:C192"/>
    <mergeCell ref="A145:A156"/>
    <mergeCell ref="B154:C154"/>
    <mergeCell ref="B155:C15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1F887-413D-4245-888C-F9EA47D32BD2}">
  <sheetPr>
    <tabColor theme="5" tint="-0.249977111117893"/>
  </sheetPr>
  <dimension ref="A1:CA48"/>
  <sheetViews>
    <sheetView zoomScale="90" zoomScaleNormal="90" workbookViewId="0">
      <pane xSplit="3" ySplit="2" topLeftCell="D3" activePane="bottomRight" state="frozen"/>
      <selection activeCell="C3" sqref="C3:L3"/>
      <selection pane="topRight" activeCell="C3" sqref="C3:L3"/>
      <selection pane="bottomLeft" activeCell="C3" sqref="C3:L3"/>
      <selection pane="bottomRight" activeCell="C4" sqref="C4:M4"/>
    </sheetView>
  </sheetViews>
  <sheetFormatPr defaultColWidth="8.88671875" defaultRowHeight="15.05"/>
  <cols>
    <col min="1" max="1" width="4.44140625" hidden="1" customWidth="1"/>
    <col min="2" max="2" width="12.88671875" customWidth="1"/>
    <col min="3" max="3" width="59.44140625" customWidth="1"/>
    <col min="4" max="4" width="14.44140625" customWidth="1"/>
    <col min="5" max="11" width="12.44140625" customWidth="1"/>
    <col min="12" max="12" width="12.44140625" hidden="1" customWidth="1"/>
    <col min="13" max="13" width="14.44140625" customWidth="1"/>
    <col min="14" max="49" width="2.88671875" style="122" hidden="1" customWidth="1"/>
    <col min="50" max="53" width="6.44140625" style="122" hidden="1" customWidth="1"/>
    <col min="54" max="77" width="7.44140625" style="122" hidden="1" customWidth="1"/>
    <col min="78" max="78" width="35.88671875" customWidth="1"/>
    <col min="79" max="79" width="13.44140625" customWidth="1"/>
  </cols>
  <sheetData>
    <row r="1" spans="1:79" s="1" customFormat="1" ht="23.4" customHeight="1" thickBot="1">
      <c r="B1" s="791" t="s">
        <v>710</v>
      </c>
      <c r="C1" s="791"/>
      <c r="D1" s="792" t="str">
        <f ca="1">IF(M43&gt;CA1,'7.Budget'!AC3,"")</f>
        <v/>
      </c>
      <c r="E1" s="792"/>
      <c r="F1" s="792"/>
      <c r="G1" s="792"/>
      <c r="H1" s="792"/>
      <c r="I1" s="792"/>
      <c r="J1" s="792"/>
      <c r="K1" s="792"/>
      <c r="L1" s="792"/>
      <c r="M1" s="793"/>
      <c r="N1" s="790">
        <f ca="1">+'4.Team'!J1</f>
        <v>2026</v>
      </c>
      <c r="O1" s="790"/>
      <c r="P1" s="790"/>
      <c r="Q1" s="790"/>
      <c r="R1" s="790"/>
      <c r="S1" s="790"/>
      <c r="T1" s="790"/>
      <c r="U1" s="790"/>
      <c r="V1" s="790"/>
      <c r="W1" s="790"/>
      <c r="X1" s="790"/>
      <c r="Y1" s="790"/>
      <c r="Z1" s="790">
        <f ca="1">+N1+1</f>
        <v>2027</v>
      </c>
      <c r="AA1" s="790"/>
      <c r="AB1" s="790"/>
      <c r="AC1" s="790"/>
      <c r="AD1" s="790"/>
      <c r="AE1" s="790"/>
      <c r="AF1" s="790"/>
      <c r="AG1" s="790"/>
      <c r="AH1" s="790"/>
      <c r="AI1" s="790"/>
      <c r="AJ1" s="790"/>
      <c r="AK1" s="790"/>
      <c r="AL1" s="790">
        <f ca="1">+Z1+1</f>
        <v>2028</v>
      </c>
      <c r="AM1" s="790"/>
      <c r="AN1" s="790"/>
      <c r="AO1" s="790"/>
      <c r="AP1" s="790"/>
      <c r="AQ1" s="790"/>
      <c r="AR1" s="790"/>
      <c r="AS1" s="790"/>
      <c r="AT1" s="790"/>
      <c r="AU1" s="790"/>
      <c r="AV1" s="790"/>
      <c r="AW1" s="790"/>
      <c r="AX1" s="123"/>
      <c r="AY1" s="123"/>
      <c r="AZ1" s="123"/>
      <c r="BA1" s="123"/>
      <c r="BB1" s="124" t="s">
        <v>39</v>
      </c>
      <c r="BC1" s="125" t="s">
        <v>39</v>
      </c>
      <c r="BD1" s="125" t="s">
        <v>39</v>
      </c>
      <c r="BE1" s="126" t="s">
        <v>4</v>
      </c>
      <c r="BF1" s="126" t="s">
        <v>4</v>
      </c>
      <c r="BG1" s="126" t="s">
        <v>4</v>
      </c>
      <c r="BH1" s="126" t="s">
        <v>40</v>
      </c>
      <c r="BI1" s="126" t="s">
        <v>40</v>
      </c>
      <c r="BJ1" s="126" t="s">
        <v>40</v>
      </c>
      <c r="BK1" s="126" t="s">
        <v>41</v>
      </c>
      <c r="BL1" s="126" t="s">
        <v>41</v>
      </c>
      <c r="BM1" s="126" t="s">
        <v>41</v>
      </c>
      <c r="BN1" s="125" t="s">
        <v>87</v>
      </c>
      <c r="BO1" s="125" t="s">
        <v>87</v>
      </c>
      <c r="BP1" s="125" t="s">
        <v>87</v>
      </c>
      <c r="BQ1" s="125" t="s">
        <v>42</v>
      </c>
      <c r="BR1" s="125" t="s">
        <v>42</v>
      </c>
      <c r="BS1" s="125" t="s">
        <v>42</v>
      </c>
      <c r="BT1" s="125" t="s">
        <v>43</v>
      </c>
      <c r="BU1" s="125" t="s">
        <v>43</v>
      </c>
      <c r="BV1" s="125" t="s">
        <v>43</v>
      </c>
      <c r="BW1" s="125" t="s">
        <v>47</v>
      </c>
      <c r="BX1" s="125" t="s">
        <v>47</v>
      </c>
      <c r="BY1" s="127" t="s">
        <v>47</v>
      </c>
      <c r="BZ1" s="2" t="s">
        <v>761</v>
      </c>
      <c r="CA1" s="355">
        <f>+Info!B6</f>
        <v>250000</v>
      </c>
    </row>
    <row r="2" spans="1:79" ht="15.75" thickBot="1">
      <c r="B2" s="356" t="s">
        <v>11</v>
      </c>
      <c r="C2" s="356" t="s">
        <v>637</v>
      </c>
      <c r="D2" s="356" t="s">
        <v>39</v>
      </c>
      <c r="E2" s="356" t="s">
        <v>4</v>
      </c>
      <c r="F2" s="356" t="s">
        <v>40</v>
      </c>
      <c r="G2" s="356" t="s">
        <v>41</v>
      </c>
      <c r="H2" s="356" t="s">
        <v>46</v>
      </c>
      <c r="I2" s="356" t="s">
        <v>42</v>
      </c>
      <c r="J2" s="356" t="s">
        <v>43</v>
      </c>
      <c r="K2" s="356" t="s">
        <v>44</v>
      </c>
      <c r="L2" s="356" t="s">
        <v>47</v>
      </c>
      <c r="M2" s="356" t="s">
        <v>685</v>
      </c>
      <c r="N2" s="128" t="s">
        <v>2</v>
      </c>
      <c r="O2" s="128" t="s">
        <v>3</v>
      </c>
      <c r="P2" s="128" t="s">
        <v>4</v>
      </c>
      <c r="Q2" s="128" t="s">
        <v>5</v>
      </c>
      <c r="R2" s="128" t="s">
        <v>4</v>
      </c>
      <c r="S2" s="128" t="s">
        <v>2</v>
      </c>
      <c r="T2" s="128" t="s">
        <v>2</v>
      </c>
      <c r="U2" s="128" t="s">
        <v>5</v>
      </c>
      <c r="V2" s="128" t="s">
        <v>6</v>
      </c>
      <c r="W2" s="128" t="s">
        <v>7</v>
      </c>
      <c r="X2" s="128" t="s">
        <v>8</v>
      </c>
      <c r="Y2" s="128" t="s">
        <v>9</v>
      </c>
      <c r="Z2" s="128" t="s">
        <v>2</v>
      </c>
      <c r="AA2" s="128" t="s">
        <v>3</v>
      </c>
      <c r="AB2" s="128" t="s">
        <v>4</v>
      </c>
      <c r="AC2" s="128" t="s">
        <v>5</v>
      </c>
      <c r="AD2" s="128" t="s">
        <v>4</v>
      </c>
      <c r="AE2" s="128" t="s">
        <v>2</v>
      </c>
      <c r="AF2" s="128" t="s">
        <v>2</v>
      </c>
      <c r="AG2" s="128" t="s">
        <v>5</v>
      </c>
      <c r="AH2" s="128" t="s">
        <v>6</v>
      </c>
      <c r="AI2" s="128" t="s">
        <v>7</v>
      </c>
      <c r="AJ2" s="128" t="s">
        <v>8</v>
      </c>
      <c r="AK2" s="128" t="s">
        <v>9</v>
      </c>
      <c r="AL2" s="128" t="s">
        <v>2</v>
      </c>
      <c r="AM2" s="128" t="s">
        <v>3</v>
      </c>
      <c r="AN2" s="128" t="s">
        <v>4</v>
      </c>
      <c r="AO2" s="128" t="s">
        <v>5</v>
      </c>
      <c r="AP2" s="128" t="s">
        <v>4</v>
      </c>
      <c r="AQ2" s="128" t="s">
        <v>2</v>
      </c>
      <c r="AR2" s="128" t="s">
        <v>2</v>
      </c>
      <c r="AS2" s="128" t="s">
        <v>5</v>
      </c>
      <c r="AT2" s="128" t="s">
        <v>6</v>
      </c>
      <c r="AU2" s="128" t="s">
        <v>7</v>
      </c>
      <c r="AV2" s="128" t="s">
        <v>8</v>
      </c>
      <c r="AW2" s="128" t="s">
        <v>9</v>
      </c>
      <c r="AY2" s="122">
        <v>2025</v>
      </c>
      <c r="AZ2" s="122">
        <v>2026</v>
      </c>
      <c r="BA2" s="122">
        <v>2027</v>
      </c>
      <c r="BB2" s="122">
        <v>2025</v>
      </c>
      <c r="BC2" s="122">
        <v>2026</v>
      </c>
      <c r="BD2" s="122">
        <v>2027</v>
      </c>
      <c r="BE2" s="122">
        <v>2025</v>
      </c>
      <c r="BF2" s="122">
        <v>2026</v>
      </c>
      <c r="BG2" s="122">
        <v>2027</v>
      </c>
      <c r="BH2" s="122">
        <v>2025</v>
      </c>
      <c r="BI2" s="122">
        <v>2026</v>
      </c>
      <c r="BJ2" s="122">
        <v>2027</v>
      </c>
      <c r="BK2" s="122">
        <v>2025</v>
      </c>
      <c r="BL2" s="122">
        <v>2026</v>
      </c>
      <c r="BM2" s="122">
        <v>2027</v>
      </c>
      <c r="BN2" s="122">
        <v>2025</v>
      </c>
      <c r="BO2" s="122">
        <v>2026</v>
      </c>
      <c r="BP2" s="122">
        <v>2027</v>
      </c>
      <c r="BQ2" s="122">
        <v>2025</v>
      </c>
      <c r="BR2" s="122">
        <v>2026</v>
      </c>
      <c r="BS2" s="122">
        <v>2027</v>
      </c>
      <c r="BT2" s="122">
        <v>2025</v>
      </c>
      <c r="BU2" s="122">
        <v>2026</v>
      </c>
      <c r="BV2" s="122">
        <v>2027</v>
      </c>
      <c r="BW2" s="122">
        <v>2025</v>
      </c>
      <c r="BX2" s="122">
        <v>2026</v>
      </c>
      <c r="BY2" s="122">
        <v>2027</v>
      </c>
      <c r="BZ2" s="264" t="s">
        <v>762</v>
      </c>
      <c r="CA2" s="355">
        <f ca="1">(CA1/(1+Info!B8))-D43-E43-F43-G43-H43-I43-J43</f>
        <v>200000</v>
      </c>
    </row>
    <row r="3" spans="1:79" ht="15.75" thickTop="1">
      <c r="A3" t="s">
        <v>18</v>
      </c>
      <c r="B3" s="357" t="s">
        <v>818</v>
      </c>
      <c r="C3" s="358" t="str">
        <f>IF(VLOOKUP(B3,'3.Tasks'!$B$4:$C$23,2,FALSE)=0,"NA",VLOOKUP(B3,'3.Tasks'!$B$4:$C$23,2,FALSE))</f>
        <v>NA</v>
      </c>
      <c r="D3" s="359">
        <f ca="1">HLOOKUP(A3,CAL_BO!$BB$4:$BU$30,27,FALSE)+(HLOOKUP(A3,'4.1'!$AP$4:$BI$10,7,FALSE))</f>
        <v>0</v>
      </c>
      <c r="E3" s="360"/>
      <c r="F3" s="360"/>
      <c r="G3" s="359">
        <f>HLOOKUP(A3,'5.Equipments'!$AJ$2:$BC$23,22,FALSE)</f>
        <v>0</v>
      </c>
      <c r="H3" s="360"/>
      <c r="I3" s="360"/>
      <c r="J3" s="360"/>
      <c r="K3" s="361">
        <f ca="1">SUM(D3:J3)*0.25</f>
        <v>0</v>
      </c>
      <c r="L3" s="362">
        <v>0</v>
      </c>
      <c r="M3" s="363">
        <f ca="1">SUM(D3:L3)</f>
        <v>0</v>
      </c>
      <c r="N3" s="122">
        <f ca="1">+'3.Tasks'!J4</f>
        <v>0</v>
      </c>
      <c r="O3" s="122">
        <f ca="1">+'3.Tasks'!K4</f>
        <v>0</v>
      </c>
      <c r="P3" s="122" t="e">
        <f ca="1">+'3.Tasks'!L4</f>
        <v>#N/A</v>
      </c>
      <c r="Q3" s="122" t="e">
        <f ca="1">+'3.Tasks'!M4</f>
        <v>#N/A</v>
      </c>
      <c r="R3" s="122" t="e">
        <f ca="1">+'3.Tasks'!N4</f>
        <v>#N/A</v>
      </c>
      <c r="S3" s="122" t="e">
        <f ca="1">+'3.Tasks'!O4</f>
        <v>#N/A</v>
      </c>
      <c r="T3" s="122" t="e">
        <f ca="1">+'3.Tasks'!P4</f>
        <v>#N/A</v>
      </c>
      <c r="U3" s="122" t="e">
        <f ca="1">+'3.Tasks'!Q4</f>
        <v>#N/A</v>
      </c>
      <c r="V3" s="122" t="e">
        <f ca="1">+'3.Tasks'!R4</f>
        <v>#N/A</v>
      </c>
      <c r="W3" s="122" t="e">
        <f ca="1">+'3.Tasks'!S4</f>
        <v>#N/A</v>
      </c>
      <c r="X3" s="122" t="e">
        <f ca="1">+'3.Tasks'!T4</f>
        <v>#N/A</v>
      </c>
      <c r="Y3" s="122" t="e">
        <f ca="1">+'3.Tasks'!U4</f>
        <v>#N/A</v>
      </c>
      <c r="Z3" s="122" t="e">
        <f ca="1">+'3.Tasks'!V4</f>
        <v>#N/A</v>
      </c>
      <c r="AA3" s="122" t="e">
        <f ca="1">+'3.Tasks'!W4</f>
        <v>#N/A</v>
      </c>
      <c r="AB3" s="122" t="e">
        <f ca="1">+'3.Tasks'!X4</f>
        <v>#N/A</v>
      </c>
      <c r="AC3" s="122" t="e">
        <f ca="1">+'3.Tasks'!Y4</f>
        <v>#N/A</v>
      </c>
      <c r="AD3" s="122" t="e">
        <f ca="1">+'3.Tasks'!Z4</f>
        <v>#N/A</v>
      </c>
      <c r="AE3" s="122" t="e">
        <f ca="1">+'3.Tasks'!AA4</f>
        <v>#N/A</v>
      </c>
      <c r="AF3" s="122" t="e">
        <f ca="1">+'3.Tasks'!AB4</f>
        <v>#N/A</v>
      </c>
      <c r="AG3" s="122" t="e">
        <f ca="1">+'3.Tasks'!AC4</f>
        <v>#N/A</v>
      </c>
      <c r="AH3" s="122" t="e">
        <f ca="1">+'3.Tasks'!AD4</f>
        <v>#N/A</v>
      </c>
      <c r="AI3" s="122" t="e">
        <f ca="1">+'3.Tasks'!AE4</f>
        <v>#N/A</v>
      </c>
      <c r="AJ3" s="122" t="e">
        <f ca="1">+'3.Tasks'!AF4</f>
        <v>#N/A</v>
      </c>
      <c r="AK3" s="122" t="e">
        <f ca="1">+'3.Tasks'!AG4</f>
        <v>#N/A</v>
      </c>
      <c r="AL3" s="122" t="e">
        <f ca="1">+'3.Tasks'!AH4</f>
        <v>#N/A</v>
      </c>
      <c r="AM3" s="122" t="e">
        <f ca="1">+'3.Tasks'!AI4</f>
        <v>#N/A</v>
      </c>
      <c r="AN3" s="122" t="e">
        <f ca="1">+'3.Tasks'!AJ4</f>
        <v>#N/A</v>
      </c>
      <c r="AO3" s="122" t="e">
        <f ca="1">+'3.Tasks'!AK4</f>
        <v>#N/A</v>
      </c>
      <c r="AP3" s="122" t="e">
        <f ca="1">+'3.Tasks'!AL4</f>
        <v>#N/A</v>
      </c>
      <c r="AQ3" s="122" t="e">
        <f ca="1">+'3.Tasks'!AM4</f>
        <v>#N/A</v>
      </c>
      <c r="AR3" s="122" t="e">
        <f ca="1">+'3.Tasks'!AN4</f>
        <v>#N/A</v>
      </c>
      <c r="AS3" s="122" t="e">
        <f ca="1">+'3.Tasks'!AO4</f>
        <v>#N/A</v>
      </c>
      <c r="AT3" s="122" t="e">
        <f ca="1">+'3.Tasks'!AP4</f>
        <v>#N/A</v>
      </c>
      <c r="AU3" s="122" t="e">
        <f ca="1">+'3.Tasks'!AQ4</f>
        <v>#N/A</v>
      </c>
      <c r="AV3" s="122" t="e">
        <f ca="1">+'3.Tasks'!AR4</f>
        <v>#N/A</v>
      </c>
      <c r="AW3" s="122" t="e">
        <f ca="1">+'3.Tasks'!AS4</f>
        <v>#N/A</v>
      </c>
      <c r="AX3" s="122" t="e">
        <f ca="1">SUBTOTAL(9,N3:AW3)</f>
        <v>#N/A</v>
      </c>
      <c r="AY3" s="122" t="e">
        <f ca="1">SUM(N3:Y3)</f>
        <v>#N/A</v>
      </c>
      <c r="AZ3" s="122" t="e">
        <f ca="1">SUM(Z3:AK3)</f>
        <v>#N/A</v>
      </c>
      <c r="BA3" s="122" t="e">
        <f ca="1">SUM(AL3:AW3)</f>
        <v>#N/A</v>
      </c>
      <c r="BB3" s="130" t="e">
        <f ca="1">IF(AX3=0,0,$D3/$AX3*AY3)</f>
        <v>#N/A</v>
      </c>
      <c r="BC3" s="130" t="e">
        <f ca="1">IF(AX3=0,0,$D3/$AX3*AZ3)</f>
        <v>#N/A</v>
      </c>
      <c r="BD3" s="130" t="e">
        <f ca="1">IF(AX3=0,0,$D3/$AX3*BA3)</f>
        <v>#N/A</v>
      </c>
      <c r="BE3" s="130" t="e">
        <f ca="1">IF(AX3=0,0,$E3/$AX3*AY3)</f>
        <v>#N/A</v>
      </c>
      <c r="BF3" s="130" t="e">
        <f ca="1">IF(AX3=0,0,$E3/$AX3*AZ3)</f>
        <v>#N/A</v>
      </c>
      <c r="BG3" s="130" t="e">
        <f ca="1">IF(AX3=0,0,$E3/$AX3*BA3)</f>
        <v>#N/A</v>
      </c>
      <c r="BH3" s="130" t="e">
        <f ca="1">IF(AX3=0,0,$F3/$AX3*AY3)</f>
        <v>#N/A</v>
      </c>
      <c r="BI3" s="130" t="e">
        <f ca="1">IF(AX3=0,0,$F3/$AX3*AZ3)</f>
        <v>#N/A</v>
      </c>
      <c r="BJ3" s="130" t="e">
        <f ca="1">IF(AX3=0,0,$F3/$AX3*BA3)</f>
        <v>#N/A</v>
      </c>
      <c r="BK3" s="130" t="e">
        <f ca="1">IF(AX3=0,0,$G3/$AX3*AY3)</f>
        <v>#N/A</v>
      </c>
      <c r="BL3" s="130" t="e">
        <f ca="1">IF(AX3=0,0,$G3/$AX3*AZ3)</f>
        <v>#N/A</v>
      </c>
      <c r="BM3" s="130" t="e">
        <f ca="1">IF(AX3=0,0,$G3/$AX3*BA3)</f>
        <v>#N/A</v>
      </c>
      <c r="BN3" s="130" t="e">
        <f ca="1">IF(AX3=0,0,$H3/$AX3*AY3)</f>
        <v>#N/A</v>
      </c>
      <c r="BO3" s="130" t="e">
        <f ca="1">IF(AX3=0,0,$H3/$AX3*AZ3)</f>
        <v>#N/A</v>
      </c>
      <c r="BP3" s="130" t="e">
        <f ca="1">IF(AX3=0,0,$H3/$AX3*BA3)</f>
        <v>#N/A</v>
      </c>
      <c r="BQ3" s="130" t="e">
        <f ca="1">IF(AX3=0,0,$I3/$AX3*AY3)</f>
        <v>#N/A</v>
      </c>
      <c r="BR3" s="130" t="e">
        <f ca="1">IF(AX3=0,0,$I3/$AX3*AZ3)</f>
        <v>#N/A</v>
      </c>
      <c r="BS3" s="130" t="e">
        <f ca="1">IF(AX3=0,0,$I3/$AX3*BA3)</f>
        <v>#N/A</v>
      </c>
      <c r="BT3" s="130" t="e">
        <f ca="1">IF(AX3=0,0,$J3/$AX3*AY3)</f>
        <v>#N/A</v>
      </c>
      <c r="BU3" s="130" t="e">
        <f ca="1">IF(AX3=0,0,$J3/$AX3*AZ3)</f>
        <v>#N/A</v>
      </c>
      <c r="BV3" s="130" t="e">
        <f ca="1">IF(AX3=0,0,$J3/$AX3*BA3)</f>
        <v>#N/A</v>
      </c>
      <c r="BW3" s="130" t="e">
        <f ca="1">IF(AX3=0,0,$L3/$AX3*AY3)</f>
        <v>#N/A</v>
      </c>
      <c r="BX3" s="130" t="e">
        <f ca="1">IF(AX3=0,0,$L3/$AX3*AZ3)</f>
        <v>#N/A</v>
      </c>
      <c r="BY3" s="130" t="e">
        <f ca="1">IF(AX3=0,0,$L3/$AX3*BA3)</f>
        <v>#N/A</v>
      </c>
    </row>
    <row r="4" spans="1:79" ht="74.95" customHeight="1" thickBot="1">
      <c r="B4" s="364" t="s">
        <v>693</v>
      </c>
      <c r="C4" s="789" t="str">
        <f>IF(C3="NA","NA","")</f>
        <v>NA</v>
      </c>
      <c r="D4" s="789"/>
      <c r="E4" s="789"/>
      <c r="F4" s="789"/>
      <c r="G4" s="789"/>
      <c r="H4" s="789"/>
      <c r="I4" s="789"/>
      <c r="J4" s="789"/>
      <c r="K4" s="789"/>
      <c r="L4" s="789"/>
      <c r="M4" s="789"/>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row>
    <row r="5" spans="1:79" ht="15.75" thickTop="1">
      <c r="A5" t="s">
        <v>19</v>
      </c>
      <c r="B5" s="357" t="s">
        <v>819</v>
      </c>
      <c r="C5" s="358" t="str">
        <f>IF(VLOOKUP(B5,'3.Tasks'!$B$4:$C$23,2,FALSE)=0,"NA",VLOOKUP(B5,'3.Tasks'!$B$4:$C$23,2,FALSE))</f>
        <v>NA</v>
      </c>
      <c r="D5" s="359">
        <f ca="1">HLOOKUP(A5,CAL_BO!$BB$4:$BU$30,27,FALSE)+(HLOOKUP(A5,'4.1'!$AP$4:$BI$10,7,FALSE))</f>
        <v>0</v>
      </c>
      <c r="E5" s="360"/>
      <c r="F5" s="360"/>
      <c r="G5" s="359">
        <f>HLOOKUP(A5,'5.Equipments'!$AJ$2:$BC$23,22,FALSE)</f>
        <v>0</v>
      </c>
      <c r="H5" s="360"/>
      <c r="I5" s="360"/>
      <c r="J5" s="360"/>
      <c r="K5" s="361">
        <f t="shared" ref="K5" ca="1" si="0">SUM(D5:J5)*0.25</f>
        <v>0</v>
      </c>
      <c r="L5" s="362">
        <v>0</v>
      </c>
      <c r="M5" s="363">
        <f ca="1">SUM(D5:L5)</f>
        <v>0</v>
      </c>
      <c r="N5" s="122">
        <f ca="1">+'3.Tasks'!J5</f>
        <v>0</v>
      </c>
      <c r="O5" s="122">
        <f ca="1">+'3.Tasks'!K5</f>
        <v>0</v>
      </c>
      <c r="P5" s="122" t="e">
        <f ca="1">+'3.Tasks'!L5</f>
        <v>#N/A</v>
      </c>
      <c r="Q5" s="122" t="e">
        <f ca="1">+'3.Tasks'!M5</f>
        <v>#N/A</v>
      </c>
      <c r="R5" s="122" t="e">
        <f ca="1">+'3.Tasks'!N5</f>
        <v>#N/A</v>
      </c>
      <c r="S5" s="122" t="e">
        <f ca="1">+'3.Tasks'!O5</f>
        <v>#N/A</v>
      </c>
      <c r="T5" s="122" t="e">
        <f ca="1">+'3.Tasks'!P5</f>
        <v>#N/A</v>
      </c>
      <c r="U5" s="122" t="e">
        <f ca="1">+'3.Tasks'!Q5</f>
        <v>#N/A</v>
      </c>
      <c r="V5" s="122" t="e">
        <f ca="1">+'3.Tasks'!R5</f>
        <v>#N/A</v>
      </c>
      <c r="W5" s="122" t="e">
        <f ca="1">+'3.Tasks'!S5</f>
        <v>#N/A</v>
      </c>
      <c r="X5" s="122" t="e">
        <f ca="1">+'3.Tasks'!T5</f>
        <v>#N/A</v>
      </c>
      <c r="Y5" s="122" t="e">
        <f ca="1">+'3.Tasks'!U5</f>
        <v>#N/A</v>
      </c>
      <c r="Z5" s="122" t="e">
        <f ca="1">+'3.Tasks'!V5</f>
        <v>#N/A</v>
      </c>
      <c r="AA5" s="122" t="e">
        <f ca="1">+'3.Tasks'!W5</f>
        <v>#N/A</v>
      </c>
      <c r="AB5" s="122" t="e">
        <f ca="1">+'3.Tasks'!X5</f>
        <v>#N/A</v>
      </c>
      <c r="AC5" s="122" t="e">
        <f ca="1">+'3.Tasks'!Y5</f>
        <v>#N/A</v>
      </c>
      <c r="AD5" s="122" t="e">
        <f ca="1">+'3.Tasks'!Z5</f>
        <v>#N/A</v>
      </c>
      <c r="AE5" s="122" t="e">
        <f ca="1">+'3.Tasks'!AA5</f>
        <v>#N/A</v>
      </c>
      <c r="AF5" s="122" t="e">
        <f ca="1">+'3.Tasks'!AB5</f>
        <v>#N/A</v>
      </c>
      <c r="AG5" s="122" t="e">
        <f ca="1">+'3.Tasks'!AC5</f>
        <v>#N/A</v>
      </c>
      <c r="AH5" s="122" t="e">
        <f ca="1">+'3.Tasks'!AD5</f>
        <v>#N/A</v>
      </c>
      <c r="AI5" s="122" t="e">
        <f ca="1">+'3.Tasks'!AE5</f>
        <v>#N/A</v>
      </c>
      <c r="AJ5" s="122" t="e">
        <f ca="1">+'3.Tasks'!AF5</f>
        <v>#N/A</v>
      </c>
      <c r="AK5" s="122" t="e">
        <f ca="1">+'3.Tasks'!AG5</f>
        <v>#N/A</v>
      </c>
      <c r="AL5" s="122" t="e">
        <f ca="1">+'3.Tasks'!AH5</f>
        <v>#N/A</v>
      </c>
      <c r="AM5" s="122" t="e">
        <f ca="1">+'3.Tasks'!AI5</f>
        <v>#N/A</v>
      </c>
      <c r="AN5" s="122" t="e">
        <f ca="1">+'3.Tasks'!AJ5</f>
        <v>#N/A</v>
      </c>
      <c r="AO5" s="122" t="e">
        <f ca="1">+'3.Tasks'!AK5</f>
        <v>#N/A</v>
      </c>
      <c r="AP5" s="122" t="e">
        <f ca="1">+'3.Tasks'!AL5</f>
        <v>#N/A</v>
      </c>
      <c r="AQ5" s="122" t="e">
        <f ca="1">+'3.Tasks'!AM5</f>
        <v>#N/A</v>
      </c>
      <c r="AR5" s="122" t="e">
        <f ca="1">+'3.Tasks'!AN5</f>
        <v>#N/A</v>
      </c>
      <c r="AS5" s="122" t="e">
        <f ca="1">+'3.Tasks'!AO5</f>
        <v>#N/A</v>
      </c>
      <c r="AT5" s="122" t="e">
        <f ca="1">+'3.Tasks'!AP5</f>
        <v>#N/A</v>
      </c>
      <c r="AU5" s="122" t="e">
        <f ca="1">+'3.Tasks'!AQ5</f>
        <v>#N/A</v>
      </c>
      <c r="AV5" s="122" t="e">
        <f ca="1">+'3.Tasks'!AR5</f>
        <v>#N/A</v>
      </c>
      <c r="AW5" s="122" t="e">
        <f ca="1">+'3.Tasks'!AS5</f>
        <v>#N/A</v>
      </c>
      <c r="AX5" s="122" t="e">
        <f ca="1">SUBTOTAL(9,N5:AW5)</f>
        <v>#N/A</v>
      </c>
      <c r="AY5" s="122" t="e">
        <f ca="1">SUM(N5:Y5)</f>
        <v>#N/A</v>
      </c>
      <c r="AZ5" s="122" t="e">
        <f ca="1">SUM(Z5:AK5)</f>
        <v>#N/A</v>
      </c>
      <c r="BA5" s="122" t="e">
        <f ca="1">SUM(AL5:AW5)</f>
        <v>#N/A</v>
      </c>
      <c r="BB5" s="131" t="e">
        <f ca="1">IF(AX5=0,0,$D5/$AX5*AY5)</f>
        <v>#N/A</v>
      </c>
      <c r="BC5" s="130" t="e">
        <f ca="1">IF(AX5=0,0,$D5/$AX5*AZ5)</f>
        <v>#N/A</v>
      </c>
      <c r="BD5" s="130" t="e">
        <f ca="1">IF(AX5=0,0,$D5/$AX5*BA5)</f>
        <v>#N/A</v>
      </c>
      <c r="BE5" s="130" t="e">
        <f ca="1">IF(AX5=0,0,$E5/$AX5*AY5)</f>
        <v>#N/A</v>
      </c>
      <c r="BF5" s="130" t="e">
        <f ca="1">IF(AX5=0,0,$E5/$AX5*AZ5)</f>
        <v>#N/A</v>
      </c>
      <c r="BG5" s="130" t="e">
        <f ca="1">IF(AX5=0,0,$E5/$AX5*BA5)</f>
        <v>#N/A</v>
      </c>
      <c r="BH5" s="130" t="e">
        <f ca="1">IF(AX5=0,0,$F5/$AX5*AY5)</f>
        <v>#N/A</v>
      </c>
      <c r="BI5" s="130" t="e">
        <f ca="1">IF(AX5=0,0,$F5/$AX5*AZ5)</f>
        <v>#N/A</v>
      </c>
      <c r="BJ5" s="130" t="e">
        <f ca="1">IF(AX5=0,0,$F5/$AX5*BA5)</f>
        <v>#N/A</v>
      </c>
      <c r="BK5" s="130" t="e">
        <f ca="1">IF(AX5=0,0,$G5/$AX5*AY5)</f>
        <v>#N/A</v>
      </c>
      <c r="BL5" s="130" t="e">
        <f ca="1">IF(AX5=0,0,$G5/$AX5*AZ5)</f>
        <v>#N/A</v>
      </c>
      <c r="BM5" s="130" t="e">
        <f ca="1">IF(AX5=0,0,$G5/$AX5*BA5)</f>
        <v>#N/A</v>
      </c>
      <c r="BN5" s="130" t="e">
        <f ca="1">IF(AX5=0,0,$H5/$AX5*AY5)</f>
        <v>#N/A</v>
      </c>
      <c r="BO5" s="130" t="e">
        <f ca="1">IF(AX5=0,0,$H5/$AX5*AZ5)</f>
        <v>#N/A</v>
      </c>
      <c r="BP5" s="130" t="e">
        <f ca="1">IF(AX5=0,0,$H5/$AX5*BA5)</f>
        <v>#N/A</v>
      </c>
      <c r="BQ5" s="130" t="e">
        <f ca="1">IF(AX5=0,0,$I5/$AX5*AY5)</f>
        <v>#N/A</v>
      </c>
      <c r="BR5" s="130" t="e">
        <f ca="1">IF(AX5=0,0,$I5/$AX5*AZ5)</f>
        <v>#N/A</v>
      </c>
      <c r="BS5" s="130" t="e">
        <f ca="1">IF(AX5=0,0,$I5/$AX5*BA5)</f>
        <v>#N/A</v>
      </c>
      <c r="BT5" s="130" t="e">
        <f ca="1">IF(AX5=0,0,$J5/$AX5*AY5)</f>
        <v>#N/A</v>
      </c>
      <c r="BU5" s="130" t="e">
        <f ca="1">IF(AX5=0,0,$J5/$AX5*AZ5)</f>
        <v>#N/A</v>
      </c>
      <c r="BV5" s="130" t="e">
        <f ca="1">IF(AX5=0,0,$J5/$AX5*BA5)</f>
        <v>#N/A</v>
      </c>
      <c r="BW5" s="130" t="e">
        <f ca="1">IF(AX5=0,0,$L5/$AX5*AY5)</f>
        <v>#N/A</v>
      </c>
      <c r="BX5" s="130" t="e">
        <f ca="1">IF(AX5=0,0,$L5/$AX5*AZ5)</f>
        <v>#N/A</v>
      </c>
      <c r="BY5" s="130" t="e">
        <f ca="1">IF(AX5=0,0,$L5/$AX5*BA5)</f>
        <v>#N/A</v>
      </c>
    </row>
    <row r="6" spans="1:79" ht="74.95" customHeight="1" thickBot="1">
      <c r="B6" s="364" t="s">
        <v>693</v>
      </c>
      <c r="C6" s="789" t="str">
        <f>IF(C5="NA","NA","")</f>
        <v>NA</v>
      </c>
      <c r="D6" s="789"/>
      <c r="E6" s="789"/>
      <c r="F6" s="789"/>
      <c r="G6" s="789"/>
      <c r="H6" s="789"/>
      <c r="I6" s="789"/>
      <c r="J6" s="789"/>
      <c r="K6" s="789"/>
      <c r="L6" s="789"/>
      <c r="M6" s="789"/>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row>
    <row r="7" spans="1:79" ht="15.75" thickTop="1">
      <c r="A7" t="s">
        <v>20</v>
      </c>
      <c r="B7" s="357" t="s">
        <v>820</v>
      </c>
      <c r="C7" s="358" t="str">
        <f>IF(VLOOKUP(B7,'3.Tasks'!$B$4:$C$23,2,FALSE)=0,"NA",VLOOKUP(B7,'3.Tasks'!$B$4:$C$23,2,FALSE))</f>
        <v>NA</v>
      </c>
      <c r="D7" s="359">
        <f ca="1">HLOOKUP(A7,CAL_BO!$BB$4:$BU$30,27,FALSE)+(HLOOKUP(A7,'4.1'!$AP$4:$BI$10,7,FALSE))</f>
        <v>0</v>
      </c>
      <c r="E7" s="360"/>
      <c r="F7" s="360"/>
      <c r="G7" s="359">
        <f>HLOOKUP(A7,'5.Equipments'!$AJ$2:$BC$23,22,FALSE)</f>
        <v>0</v>
      </c>
      <c r="H7" s="360"/>
      <c r="I7" s="360"/>
      <c r="J7" s="360"/>
      <c r="K7" s="361">
        <f t="shared" ref="K7" ca="1" si="1">SUM(D7:J7)*0.25</f>
        <v>0</v>
      </c>
      <c r="L7" s="362">
        <v>0</v>
      </c>
      <c r="M7" s="363">
        <f t="shared" ref="M7" ca="1" si="2">SUM(D7:L7)</f>
        <v>0</v>
      </c>
      <c r="N7" s="122">
        <f ca="1">+'3.Tasks'!J6</f>
        <v>0</v>
      </c>
      <c r="O7" s="122">
        <f ca="1">+'3.Tasks'!K6</f>
        <v>0</v>
      </c>
      <c r="P7" s="122" t="e">
        <f ca="1">+'3.Tasks'!L6</f>
        <v>#N/A</v>
      </c>
      <c r="Q7" s="122" t="e">
        <f ca="1">+'3.Tasks'!M6</f>
        <v>#N/A</v>
      </c>
      <c r="R7" s="122" t="e">
        <f ca="1">+'3.Tasks'!N6</f>
        <v>#N/A</v>
      </c>
      <c r="S7" s="122" t="e">
        <f ca="1">+'3.Tasks'!O6</f>
        <v>#N/A</v>
      </c>
      <c r="T7" s="122" t="e">
        <f ca="1">+'3.Tasks'!P6</f>
        <v>#N/A</v>
      </c>
      <c r="U7" s="122" t="e">
        <f ca="1">+'3.Tasks'!Q6</f>
        <v>#N/A</v>
      </c>
      <c r="V7" s="122" t="e">
        <f ca="1">+'3.Tasks'!R6</f>
        <v>#N/A</v>
      </c>
      <c r="W7" s="122" t="e">
        <f ca="1">+'3.Tasks'!S6</f>
        <v>#N/A</v>
      </c>
      <c r="X7" s="122" t="e">
        <f ca="1">+'3.Tasks'!T6</f>
        <v>#N/A</v>
      </c>
      <c r="Y7" s="122" t="e">
        <f ca="1">+'3.Tasks'!U6</f>
        <v>#N/A</v>
      </c>
      <c r="Z7" s="122" t="e">
        <f ca="1">+'3.Tasks'!V6</f>
        <v>#N/A</v>
      </c>
      <c r="AA7" s="122" t="e">
        <f ca="1">+'3.Tasks'!W6</f>
        <v>#N/A</v>
      </c>
      <c r="AB7" s="122" t="e">
        <f ca="1">+'3.Tasks'!X6</f>
        <v>#N/A</v>
      </c>
      <c r="AC7" s="122" t="e">
        <f ca="1">+'3.Tasks'!Y6</f>
        <v>#N/A</v>
      </c>
      <c r="AD7" s="122" t="e">
        <f ca="1">+'3.Tasks'!Z6</f>
        <v>#N/A</v>
      </c>
      <c r="AE7" s="122" t="e">
        <f ca="1">+'3.Tasks'!AA6</f>
        <v>#N/A</v>
      </c>
      <c r="AF7" s="122" t="e">
        <f ca="1">+'3.Tasks'!AB6</f>
        <v>#N/A</v>
      </c>
      <c r="AG7" s="122" t="e">
        <f ca="1">+'3.Tasks'!AC6</f>
        <v>#N/A</v>
      </c>
      <c r="AH7" s="122" t="e">
        <f ca="1">+'3.Tasks'!AD6</f>
        <v>#N/A</v>
      </c>
      <c r="AI7" s="122" t="e">
        <f ca="1">+'3.Tasks'!AE6</f>
        <v>#N/A</v>
      </c>
      <c r="AJ7" s="122" t="e">
        <f ca="1">+'3.Tasks'!AF6</f>
        <v>#N/A</v>
      </c>
      <c r="AK7" s="122" t="e">
        <f ca="1">+'3.Tasks'!AG6</f>
        <v>#N/A</v>
      </c>
      <c r="AL7" s="122" t="e">
        <f ca="1">+'3.Tasks'!AH6</f>
        <v>#N/A</v>
      </c>
      <c r="AM7" s="122" t="e">
        <f ca="1">+'3.Tasks'!AI6</f>
        <v>#N/A</v>
      </c>
      <c r="AN7" s="122" t="e">
        <f ca="1">+'3.Tasks'!AJ6</f>
        <v>#N/A</v>
      </c>
      <c r="AO7" s="122" t="e">
        <f ca="1">+'3.Tasks'!AK6</f>
        <v>#N/A</v>
      </c>
      <c r="AP7" s="122" t="e">
        <f ca="1">+'3.Tasks'!AL6</f>
        <v>#N/A</v>
      </c>
      <c r="AQ7" s="122" t="e">
        <f ca="1">+'3.Tasks'!AM6</f>
        <v>#N/A</v>
      </c>
      <c r="AR7" s="122" t="e">
        <f ca="1">+'3.Tasks'!AN6</f>
        <v>#N/A</v>
      </c>
      <c r="AS7" s="122" t="e">
        <f ca="1">+'3.Tasks'!AO6</f>
        <v>#N/A</v>
      </c>
      <c r="AT7" s="122" t="e">
        <f ca="1">+'3.Tasks'!AP6</f>
        <v>#N/A</v>
      </c>
      <c r="AU7" s="122" t="e">
        <f ca="1">+'3.Tasks'!AQ6</f>
        <v>#N/A</v>
      </c>
      <c r="AV7" s="122" t="e">
        <f ca="1">+'3.Tasks'!AR6</f>
        <v>#N/A</v>
      </c>
      <c r="AW7" s="122" t="e">
        <f ca="1">+'3.Tasks'!AS6</f>
        <v>#N/A</v>
      </c>
      <c r="AX7" s="122" t="e">
        <f ca="1">SUBTOTAL(9,N7:AW7)</f>
        <v>#N/A</v>
      </c>
      <c r="AY7" s="122" t="e">
        <f ca="1">SUM(N7:Y7)</f>
        <v>#N/A</v>
      </c>
      <c r="AZ7" s="122" t="e">
        <f ca="1">SUM(Z7:AK7)</f>
        <v>#N/A</v>
      </c>
      <c r="BA7" s="122" t="e">
        <f ca="1">SUM(AL7:AW7)</f>
        <v>#N/A</v>
      </c>
      <c r="BB7" s="131" t="e">
        <f ca="1">IF(AX7=0,0,$D7/$AX7*AY7)</f>
        <v>#N/A</v>
      </c>
      <c r="BC7" s="130" t="e">
        <f ca="1">IF(AX7=0,0,$D7/$AX7*AZ7)</f>
        <v>#N/A</v>
      </c>
      <c r="BD7" s="130" t="e">
        <f ca="1">IF(AX7=0,0,$D7/$AX7*BA7)</f>
        <v>#N/A</v>
      </c>
      <c r="BE7" s="130" t="e">
        <f ca="1">IF(AX7=0,0,$E7/$AX7*AY7)</f>
        <v>#N/A</v>
      </c>
      <c r="BF7" s="130" t="e">
        <f ca="1">IF(AX7=0,0,$E7/$AX7*AZ7)</f>
        <v>#N/A</v>
      </c>
      <c r="BG7" s="130" t="e">
        <f ca="1">IF(AX7=0,0,$E7/$AX7*BA7)</f>
        <v>#N/A</v>
      </c>
      <c r="BH7" s="130" t="e">
        <f ca="1">IF(AX7=0,0,$F7/$AX7*AY7)</f>
        <v>#N/A</v>
      </c>
      <c r="BI7" s="130" t="e">
        <f ca="1">IF(AX7=0,0,$F7/$AX7*AZ7)</f>
        <v>#N/A</v>
      </c>
      <c r="BJ7" s="130" t="e">
        <f ca="1">IF(AX7=0,0,$F7/$AX7*BA7)</f>
        <v>#N/A</v>
      </c>
      <c r="BK7" s="130" t="e">
        <f ca="1">IF(AX7=0,0,$G7/$AX7*AY7)</f>
        <v>#N/A</v>
      </c>
      <c r="BL7" s="130" t="e">
        <f ca="1">IF(AX7=0,0,$G7/$AX7*AZ7)</f>
        <v>#N/A</v>
      </c>
      <c r="BM7" s="130" t="e">
        <f ca="1">IF(AX7=0,0,$G7/$AX7*BA7)</f>
        <v>#N/A</v>
      </c>
      <c r="BN7" s="130" t="e">
        <f ca="1">IF(AX7=0,0,$H7/$AX7*AY7)</f>
        <v>#N/A</v>
      </c>
      <c r="BO7" s="130" t="e">
        <f ca="1">IF(AX7=0,0,$H7/$AX7*AZ7)</f>
        <v>#N/A</v>
      </c>
      <c r="BP7" s="130" t="e">
        <f ca="1">IF(AX7=0,0,$H7/$AX7*BA7)</f>
        <v>#N/A</v>
      </c>
      <c r="BQ7" s="130" t="e">
        <f ca="1">IF(AX7=0,0,$I7/$AX7*AY7)</f>
        <v>#N/A</v>
      </c>
      <c r="BR7" s="130" t="e">
        <f ca="1">IF(AX7=0,0,$I7/$AX7*AZ7)</f>
        <v>#N/A</v>
      </c>
      <c r="BS7" s="130" t="e">
        <f ca="1">IF(AX7=0,0,$I7/$AX7*BA7)</f>
        <v>#N/A</v>
      </c>
      <c r="BT7" s="130" t="e">
        <f ca="1">IF(AX7=0,0,$J7/$AX7*AY7)</f>
        <v>#N/A</v>
      </c>
      <c r="BU7" s="130" t="e">
        <f ca="1">IF(AX7=0,0,$J7/$AX7*AZ7)</f>
        <v>#N/A</v>
      </c>
      <c r="BV7" s="130" t="e">
        <f ca="1">IF(AX7=0,0,$J7/$AX7*BA7)</f>
        <v>#N/A</v>
      </c>
      <c r="BW7" s="130" t="e">
        <f ca="1">IF(AX7=0,0,$L7/$AX7*AY7)</f>
        <v>#N/A</v>
      </c>
      <c r="BX7" s="130" t="e">
        <f ca="1">IF(AX7=0,0,$L7/$AX7*AZ7)</f>
        <v>#N/A</v>
      </c>
      <c r="BY7" s="130" t="e">
        <f ca="1">IF(AX7=0,0,$L7/$AX7*BA7)</f>
        <v>#N/A</v>
      </c>
    </row>
    <row r="8" spans="1:79" ht="74.95" customHeight="1" thickBot="1">
      <c r="B8" s="364" t="s">
        <v>693</v>
      </c>
      <c r="C8" s="789" t="str">
        <f>IF(C7="NA","NA","")</f>
        <v>NA</v>
      </c>
      <c r="D8" s="789"/>
      <c r="E8" s="789"/>
      <c r="F8" s="789"/>
      <c r="G8" s="789"/>
      <c r="H8" s="789"/>
      <c r="I8" s="789"/>
      <c r="J8" s="789"/>
      <c r="K8" s="789"/>
      <c r="L8" s="789"/>
      <c r="M8" s="789"/>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row>
    <row r="9" spans="1:79" ht="15.75" thickTop="1">
      <c r="A9" t="s">
        <v>21</v>
      </c>
      <c r="B9" s="357" t="s">
        <v>821</v>
      </c>
      <c r="C9" s="358" t="str">
        <f>IF(VLOOKUP(B9,'3.Tasks'!$B$4:$C$23,2,FALSE)=0,"NA",VLOOKUP(B9,'3.Tasks'!$B$4:$C$23,2,FALSE))</f>
        <v>NA</v>
      </c>
      <c r="D9" s="359">
        <f ca="1">HLOOKUP(A9,CAL_BO!$BB$4:$BU$30,27,FALSE)+(HLOOKUP(A9,'4.1'!$AP$4:$BI$10,7,FALSE))</f>
        <v>0</v>
      </c>
      <c r="E9" s="360"/>
      <c r="F9" s="360"/>
      <c r="G9" s="359">
        <f>HLOOKUP(A9,'5.Equipments'!$AJ$2:$BC$23,22,FALSE)</f>
        <v>0</v>
      </c>
      <c r="H9" s="360"/>
      <c r="I9" s="360"/>
      <c r="J9" s="360"/>
      <c r="K9" s="361">
        <f t="shared" ref="K9" ca="1" si="3">SUM(D9:J9)*0.25</f>
        <v>0</v>
      </c>
      <c r="L9" s="362">
        <v>0</v>
      </c>
      <c r="M9" s="363">
        <f t="shared" ref="M9" ca="1" si="4">SUM(D9:L9)</f>
        <v>0</v>
      </c>
      <c r="N9" s="122">
        <f ca="1">+'3.Tasks'!J7</f>
        <v>0</v>
      </c>
      <c r="O9" s="122">
        <f ca="1">+'3.Tasks'!K7</f>
        <v>0</v>
      </c>
      <c r="P9" s="122" t="e">
        <f ca="1">+'3.Tasks'!L7</f>
        <v>#N/A</v>
      </c>
      <c r="Q9" s="122" t="e">
        <f ca="1">+'3.Tasks'!M7</f>
        <v>#N/A</v>
      </c>
      <c r="R9" s="122" t="e">
        <f ca="1">+'3.Tasks'!N7</f>
        <v>#N/A</v>
      </c>
      <c r="S9" s="122" t="e">
        <f ca="1">+'3.Tasks'!O7</f>
        <v>#N/A</v>
      </c>
      <c r="T9" s="122" t="e">
        <f ca="1">+'3.Tasks'!P7</f>
        <v>#N/A</v>
      </c>
      <c r="U9" s="122" t="e">
        <f ca="1">+'3.Tasks'!Q7</f>
        <v>#N/A</v>
      </c>
      <c r="V9" s="122" t="e">
        <f ca="1">+'3.Tasks'!R7</f>
        <v>#N/A</v>
      </c>
      <c r="W9" s="122" t="e">
        <f ca="1">+'3.Tasks'!S7</f>
        <v>#N/A</v>
      </c>
      <c r="X9" s="122" t="e">
        <f ca="1">+'3.Tasks'!T7</f>
        <v>#N/A</v>
      </c>
      <c r="Y9" s="122" t="e">
        <f ca="1">+'3.Tasks'!U7</f>
        <v>#N/A</v>
      </c>
      <c r="Z9" s="122" t="e">
        <f ca="1">+'3.Tasks'!V7</f>
        <v>#N/A</v>
      </c>
      <c r="AA9" s="122" t="e">
        <f ca="1">+'3.Tasks'!W7</f>
        <v>#N/A</v>
      </c>
      <c r="AB9" s="122" t="e">
        <f ca="1">+'3.Tasks'!X7</f>
        <v>#N/A</v>
      </c>
      <c r="AC9" s="122" t="e">
        <f ca="1">+'3.Tasks'!Y7</f>
        <v>#N/A</v>
      </c>
      <c r="AD9" s="122" t="e">
        <f ca="1">+'3.Tasks'!Z7</f>
        <v>#N/A</v>
      </c>
      <c r="AE9" s="122" t="e">
        <f ca="1">+'3.Tasks'!AA7</f>
        <v>#N/A</v>
      </c>
      <c r="AF9" s="122" t="e">
        <f ca="1">+'3.Tasks'!AB7</f>
        <v>#N/A</v>
      </c>
      <c r="AG9" s="122" t="e">
        <f ca="1">+'3.Tasks'!AC7</f>
        <v>#N/A</v>
      </c>
      <c r="AH9" s="122" t="e">
        <f ca="1">+'3.Tasks'!AD7</f>
        <v>#N/A</v>
      </c>
      <c r="AI9" s="122" t="e">
        <f ca="1">+'3.Tasks'!AE7</f>
        <v>#N/A</v>
      </c>
      <c r="AJ9" s="122" t="e">
        <f ca="1">+'3.Tasks'!AF7</f>
        <v>#N/A</v>
      </c>
      <c r="AK9" s="122" t="e">
        <f ca="1">+'3.Tasks'!AG7</f>
        <v>#N/A</v>
      </c>
      <c r="AL9" s="122" t="e">
        <f ca="1">+'3.Tasks'!AH7</f>
        <v>#N/A</v>
      </c>
      <c r="AM9" s="122" t="e">
        <f ca="1">+'3.Tasks'!AI7</f>
        <v>#N/A</v>
      </c>
      <c r="AN9" s="122" t="e">
        <f ca="1">+'3.Tasks'!AJ7</f>
        <v>#N/A</v>
      </c>
      <c r="AO9" s="122" t="e">
        <f ca="1">+'3.Tasks'!AK7</f>
        <v>#N/A</v>
      </c>
      <c r="AP9" s="122" t="e">
        <f ca="1">+'3.Tasks'!AL7</f>
        <v>#N/A</v>
      </c>
      <c r="AQ9" s="122" t="e">
        <f ca="1">+'3.Tasks'!AM7</f>
        <v>#N/A</v>
      </c>
      <c r="AR9" s="122" t="e">
        <f ca="1">+'3.Tasks'!AN7</f>
        <v>#N/A</v>
      </c>
      <c r="AS9" s="122" t="e">
        <f ca="1">+'3.Tasks'!AO7</f>
        <v>#N/A</v>
      </c>
      <c r="AT9" s="122" t="e">
        <f ca="1">+'3.Tasks'!AP7</f>
        <v>#N/A</v>
      </c>
      <c r="AU9" s="122" t="e">
        <f ca="1">+'3.Tasks'!AQ7</f>
        <v>#N/A</v>
      </c>
      <c r="AV9" s="122" t="e">
        <f ca="1">+'3.Tasks'!AR7</f>
        <v>#N/A</v>
      </c>
      <c r="AW9" s="122" t="e">
        <f ca="1">+'3.Tasks'!AS7</f>
        <v>#N/A</v>
      </c>
      <c r="AX9" s="122" t="e">
        <f ca="1">SUBTOTAL(9,N9:AW9)</f>
        <v>#N/A</v>
      </c>
      <c r="AY9" s="122" t="e">
        <f ca="1">SUM(N9:Y9)</f>
        <v>#N/A</v>
      </c>
      <c r="AZ9" s="122" t="e">
        <f ca="1">SUM(Z9:AK9)</f>
        <v>#N/A</v>
      </c>
      <c r="BA9" s="122" t="e">
        <f ca="1">SUM(AL9:AW9)</f>
        <v>#N/A</v>
      </c>
      <c r="BB9" s="130" t="e">
        <f ca="1">IF(AX9=0,0,$D9/$AX9*AY9)</f>
        <v>#N/A</v>
      </c>
      <c r="BC9" s="130" t="e">
        <f ca="1">IF(AX9=0,0,$D9/$AX9*AZ9)</f>
        <v>#N/A</v>
      </c>
      <c r="BD9" s="130" t="e">
        <f ca="1">IF(AX9=0,0,$D9/$AX9*BA9)</f>
        <v>#N/A</v>
      </c>
      <c r="BE9" s="130" t="e">
        <f ca="1">IF(AX9=0,0,$E9/$AX9*AY9)</f>
        <v>#N/A</v>
      </c>
      <c r="BF9" s="130" t="e">
        <f ca="1">IF(AX9=0,0,$E9/$AX9*AZ9)</f>
        <v>#N/A</v>
      </c>
      <c r="BG9" s="130" t="e">
        <f ca="1">IF(AX9=0,0,$E9/$AX9*BA9)</f>
        <v>#N/A</v>
      </c>
      <c r="BH9" s="130" t="e">
        <f ca="1">IF(AX9=0,0,$F9/$AX9*AY9)</f>
        <v>#N/A</v>
      </c>
      <c r="BI9" s="130" t="e">
        <f ca="1">IF(AX9=0,0,$F9/$AX9*AZ9)</f>
        <v>#N/A</v>
      </c>
      <c r="BJ9" s="130" t="e">
        <f ca="1">IF(AX9=0,0,$F9/$AX9*BA9)</f>
        <v>#N/A</v>
      </c>
      <c r="BK9" s="130" t="e">
        <f ca="1">IF(AX9=0,0,$G9/$AX9*AY9)</f>
        <v>#N/A</v>
      </c>
      <c r="BL9" s="130" t="e">
        <f ca="1">IF(AX9=0,0,$G9/$AX9*AZ9)</f>
        <v>#N/A</v>
      </c>
      <c r="BM9" s="130" t="e">
        <f ca="1">IF(AX9=0,0,$G9/$AX9*BA9)</f>
        <v>#N/A</v>
      </c>
      <c r="BN9" s="130" t="e">
        <f ca="1">IF(AX9=0,0,$H9/$AX9*AY9)</f>
        <v>#N/A</v>
      </c>
      <c r="BO9" s="130" t="e">
        <f ca="1">IF(AX9=0,0,$H9/$AX9*AZ9)</f>
        <v>#N/A</v>
      </c>
      <c r="BP9" s="130" t="e">
        <f ca="1">IF(AX9=0,0,$H9/$AX9*BA9)</f>
        <v>#N/A</v>
      </c>
      <c r="BQ9" s="130" t="e">
        <f ca="1">IF(AX9=0,0,$I9/$AX9*AY9)</f>
        <v>#N/A</v>
      </c>
      <c r="BR9" s="130" t="e">
        <f ca="1">IF(AX9=0,0,$I9/$AX9*AZ9)</f>
        <v>#N/A</v>
      </c>
      <c r="BS9" s="130" t="e">
        <f ca="1">IF(AX9=0,0,$I9/$AX9*BA9)</f>
        <v>#N/A</v>
      </c>
      <c r="BT9" s="130" t="e">
        <f ca="1">IF(AX9=0,0,$J9/$AX9*AY9)</f>
        <v>#N/A</v>
      </c>
      <c r="BU9" s="130" t="e">
        <f ca="1">IF(AX9=0,0,$J9/$AX9*AZ9)</f>
        <v>#N/A</v>
      </c>
      <c r="BV9" s="130" t="e">
        <f ca="1">IF(AX9=0,0,$J9/$AX9*BA9)</f>
        <v>#N/A</v>
      </c>
      <c r="BW9" s="130" t="e">
        <f ca="1">IF(AX9=0,0,$L9/$AX9*AY9)</f>
        <v>#N/A</v>
      </c>
      <c r="BX9" s="130" t="e">
        <f ca="1">IF(AX9=0,0,$L9/$AX9*AZ9)</f>
        <v>#N/A</v>
      </c>
      <c r="BY9" s="130" t="e">
        <f ca="1">IF(AX9=0,0,$L9/$AX9*BA9)</f>
        <v>#N/A</v>
      </c>
    </row>
    <row r="10" spans="1:79" ht="74.95" customHeight="1" thickBot="1">
      <c r="B10" s="364" t="s">
        <v>693</v>
      </c>
      <c r="C10" s="789" t="str">
        <f>IF(C9="NA","NA","")</f>
        <v>NA</v>
      </c>
      <c r="D10" s="789"/>
      <c r="E10" s="789"/>
      <c r="F10" s="789"/>
      <c r="G10" s="789"/>
      <c r="H10" s="789"/>
      <c r="I10" s="789"/>
      <c r="J10" s="789"/>
      <c r="K10" s="789"/>
      <c r="L10" s="789"/>
      <c r="M10" s="789"/>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row>
    <row r="11" spans="1:79" ht="15.75" thickTop="1">
      <c r="A11" t="s">
        <v>22</v>
      </c>
      <c r="B11" s="357" t="s">
        <v>822</v>
      </c>
      <c r="C11" s="358" t="str">
        <f>IF(VLOOKUP(B11,'3.Tasks'!$B$4:$C$23,2,FALSE)=0,"NA",VLOOKUP(B11,'3.Tasks'!$B$4:$C$23,2,FALSE))</f>
        <v>NA</v>
      </c>
      <c r="D11" s="359">
        <f ca="1">HLOOKUP(A11,CAL_BO!$BB$4:$BU$30,27,FALSE)+(HLOOKUP(A11,'4.1'!$AP$4:$BI$10,7,FALSE))</f>
        <v>0</v>
      </c>
      <c r="E11" s="360"/>
      <c r="F11" s="360"/>
      <c r="G11" s="359">
        <f>HLOOKUP(A11,'5.Equipments'!$AJ$2:$BC$23,22,FALSE)</f>
        <v>0</v>
      </c>
      <c r="H11" s="360"/>
      <c r="I11" s="360"/>
      <c r="J11" s="360"/>
      <c r="K11" s="361">
        <f t="shared" ref="K11" ca="1" si="5">SUM(D11:J11)*0.25</f>
        <v>0</v>
      </c>
      <c r="L11" s="362">
        <v>0</v>
      </c>
      <c r="M11" s="363">
        <f t="shared" ref="M11" ca="1" si="6">SUM(D11:L11)</f>
        <v>0</v>
      </c>
      <c r="N11" s="122">
        <f ca="1">+'3.Tasks'!J8</f>
        <v>0</v>
      </c>
      <c r="O11" s="122">
        <f ca="1">+'3.Tasks'!K8</f>
        <v>0</v>
      </c>
      <c r="P11" s="122" t="e">
        <f ca="1">+'3.Tasks'!L8</f>
        <v>#N/A</v>
      </c>
      <c r="Q11" s="122" t="e">
        <f ca="1">+'3.Tasks'!M8</f>
        <v>#N/A</v>
      </c>
      <c r="R11" s="122" t="e">
        <f ca="1">+'3.Tasks'!N8</f>
        <v>#N/A</v>
      </c>
      <c r="S11" s="122" t="e">
        <f ca="1">+'3.Tasks'!O8</f>
        <v>#N/A</v>
      </c>
      <c r="T11" s="122" t="e">
        <f ca="1">+'3.Tasks'!P8</f>
        <v>#N/A</v>
      </c>
      <c r="U11" s="122" t="e">
        <f ca="1">+'3.Tasks'!Q8</f>
        <v>#N/A</v>
      </c>
      <c r="V11" s="122" t="e">
        <f ca="1">+'3.Tasks'!R8</f>
        <v>#N/A</v>
      </c>
      <c r="W11" s="122" t="e">
        <f ca="1">+'3.Tasks'!S8</f>
        <v>#N/A</v>
      </c>
      <c r="X11" s="122" t="e">
        <f ca="1">+'3.Tasks'!T8</f>
        <v>#N/A</v>
      </c>
      <c r="Y11" s="122" t="e">
        <f ca="1">+'3.Tasks'!U8</f>
        <v>#N/A</v>
      </c>
      <c r="Z11" s="122" t="e">
        <f ca="1">+'3.Tasks'!V8</f>
        <v>#N/A</v>
      </c>
      <c r="AA11" s="122" t="e">
        <f ca="1">+'3.Tasks'!W8</f>
        <v>#N/A</v>
      </c>
      <c r="AB11" s="122" t="e">
        <f ca="1">+'3.Tasks'!X8</f>
        <v>#N/A</v>
      </c>
      <c r="AC11" s="122" t="e">
        <f ca="1">+'3.Tasks'!Y8</f>
        <v>#N/A</v>
      </c>
      <c r="AD11" s="122" t="e">
        <f ca="1">+'3.Tasks'!Z8</f>
        <v>#N/A</v>
      </c>
      <c r="AE11" s="122" t="e">
        <f ca="1">+'3.Tasks'!AA8</f>
        <v>#N/A</v>
      </c>
      <c r="AF11" s="122" t="e">
        <f ca="1">+'3.Tasks'!AB8</f>
        <v>#N/A</v>
      </c>
      <c r="AG11" s="122" t="e">
        <f ca="1">+'3.Tasks'!AC8</f>
        <v>#N/A</v>
      </c>
      <c r="AH11" s="122" t="e">
        <f ca="1">+'3.Tasks'!AD8</f>
        <v>#N/A</v>
      </c>
      <c r="AI11" s="122" t="e">
        <f ca="1">+'3.Tasks'!AE8</f>
        <v>#N/A</v>
      </c>
      <c r="AJ11" s="122" t="e">
        <f ca="1">+'3.Tasks'!AF8</f>
        <v>#N/A</v>
      </c>
      <c r="AK11" s="122" t="e">
        <f ca="1">+'3.Tasks'!AG8</f>
        <v>#N/A</v>
      </c>
      <c r="AL11" s="122" t="e">
        <f ca="1">+'3.Tasks'!AH8</f>
        <v>#N/A</v>
      </c>
      <c r="AM11" s="122" t="e">
        <f ca="1">+'3.Tasks'!AI8</f>
        <v>#N/A</v>
      </c>
      <c r="AN11" s="122" t="e">
        <f ca="1">+'3.Tasks'!AJ8</f>
        <v>#N/A</v>
      </c>
      <c r="AO11" s="122" t="e">
        <f ca="1">+'3.Tasks'!AK8</f>
        <v>#N/A</v>
      </c>
      <c r="AP11" s="122" t="e">
        <f ca="1">+'3.Tasks'!AL8</f>
        <v>#N/A</v>
      </c>
      <c r="AQ11" s="122" t="e">
        <f ca="1">+'3.Tasks'!AM8</f>
        <v>#N/A</v>
      </c>
      <c r="AR11" s="122" t="e">
        <f ca="1">+'3.Tasks'!AN8</f>
        <v>#N/A</v>
      </c>
      <c r="AS11" s="122" t="e">
        <f ca="1">+'3.Tasks'!AO8</f>
        <v>#N/A</v>
      </c>
      <c r="AT11" s="122" t="e">
        <f ca="1">+'3.Tasks'!AP8</f>
        <v>#N/A</v>
      </c>
      <c r="AU11" s="122" t="e">
        <f ca="1">+'3.Tasks'!AQ8</f>
        <v>#N/A</v>
      </c>
      <c r="AV11" s="122" t="e">
        <f ca="1">+'3.Tasks'!AR8</f>
        <v>#N/A</v>
      </c>
      <c r="AW11" s="122" t="e">
        <f ca="1">+'3.Tasks'!AS8</f>
        <v>#N/A</v>
      </c>
      <c r="AX11" s="122" t="e">
        <f ca="1">SUBTOTAL(9,N11:AW11)</f>
        <v>#N/A</v>
      </c>
      <c r="AY11" s="122" t="e">
        <f ca="1">SUM(N11:Y11)</f>
        <v>#N/A</v>
      </c>
      <c r="AZ11" s="122" t="e">
        <f ca="1">SUM(Z11:AK11)</f>
        <v>#N/A</v>
      </c>
      <c r="BA11" s="122" t="e">
        <f ca="1">SUM(AL11:AW11)</f>
        <v>#N/A</v>
      </c>
      <c r="BB11" s="130" t="e">
        <f ca="1">IF(AX11=0,0,$D11/$AX11*AY11)</f>
        <v>#N/A</v>
      </c>
      <c r="BC11" s="130" t="e">
        <f ca="1">IF(AX11=0,0,$D11/$AX11*AZ11)</f>
        <v>#N/A</v>
      </c>
      <c r="BD11" s="130" t="e">
        <f ca="1">IF(AX11=0,0,$D11/$AX11*BA11)</f>
        <v>#N/A</v>
      </c>
      <c r="BE11" s="130" t="e">
        <f ca="1">IF(AX11=0,0,$E11/$AX11*AY11)</f>
        <v>#N/A</v>
      </c>
      <c r="BF11" s="130" t="e">
        <f ca="1">IF(AX11=0,0,$E11/$AX11*AZ11)</f>
        <v>#N/A</v>
      </c>
      <c r="BG11" s="130" t="e">
        <f ca="1">IF(AX11=0,0,$E11/$AX11*BA11)</f>
        <v>#N/A</v>
      </c>
      <c r="BH11" s="130" t="e">
        <f ca="1">IF(AX11=0,0,$F11/$AX11*AY11)</f>
        <v>#N/A</v>
      </c>
      <c r="BI11" s="130" t="e">
        <f ca="1">IF(AX11=0,0,$F11/$AX11*AZ11)</f>
        <v>#N/A</v>
      </c>
      <c r="BJ11" s="130" t="e">
        <f ca="1">IF(AX11=0,0,$F11/$AX11*BA11)</f>
        <v>#N/A</v>
      </c>
      <c r="BK11" s="130" t="e">
        <f ca="1">IF(AX11=0,0,$G11/$AX11*AY11)</f>
        <v>#N/A</v>
      </c>
      <c r="BL11" s="130" t="e">
        <f ca="1">IF(AX11=0,0,$G11/$AX11*AZ11)</f>
        <v>#N/A</v>
      </c>
      <c r="BM11" s="130" t="e">
        <f ca="1">IF(AX11=0,0,$G11/$AX11*BA11)</f>
        <v>#N/A</v>
      </c>
      <c r="BN11" s="130" t="e">
        <f ca="1">IF(AX11=0,0,$H11/$AX11*AY11)</f>
        <v>#N/A</v>
      </c>
      <c r="BO11" s="130" t="e">
        <f ca="1">IF(AX11=0,0,$H11/$AX11*AZ11)</f>
        <v>#N/A</v>
      </c>
      <c r="BP11" s="130" t="e">
        <f ca="1">IF(AX11=0,0,$H11/$AX11*BA11)</f>
        <v>#N/A</v>
      </c>
      <c r="BQ11" s="130" t="e">
        <f ca="1">IF(AX11=0,0,$I11/$AX11*AY11)</f>
        <v>#N/A</v>
      </c>
      <c r="BR11" s="130" t="e">
        <f ca="1">IF(AX11=0,0,$I11/$AX11*AZ11)</f>
        <v>#N/A</v>
      </c>
      <c r="BS11" s="130" t="e">
        <f ca="1">IF(AX11=0,0,$I11/$AX11*BA11)</f>
        <v>#N/A</v>
      </c>
      <c r="BT11" s="130" t="e">
        <f ca="1">IF(AX11=0,0,$J11/$AX11*AY11)</f>
        <v>#N/A</v>
      </c>
      <c r="BU11" s="130" t="e">
        <f ca="1">IF(AX11=0,0,$J11/$AX11*AZ11)</f>
        <v>#N/A</v>
      </c>
      <c r="BV11" s="130" t="e">
        <f ca="1">IF(AX11=0,0,$J11/$AX11*BA11)</f>
        <v>#N/A</v>
      </c>
      <c r="BW11" s="130" t="e">
        <f ca="1">IF(AX11=0,0,$L11/$AX11*AY11)</f>
        <v>#N/A</v>
      </c>
      <c r="BX11" s="130" t="e">
        <f ca="1">IF(AX11=0,0,$L11/$AX11*AZ11)</f>
        <v>#N/A</v>
      </c>
      <c r="BY11" s="130" t="e">
        <f ca="1">IF(AX11=0,0,$L11/$AX11*BA11)</f>
        <v>#N/A</v>
      </c>
    </row>
    <row r="12" spans="1:79" ht="74.95" customHeight="1" thickBot="1">
      <c r="B12" s="364" t="s">
        <v>693</v>
      </c>
      <c r="C12" s="789" t="str">
        <f>IF(C11="NA","NA","")</f>
        <v>NA</v>
      </c>
      <c r="D12" s="789"/>
      <c r="E12" s="789"/>
      <c r="F12" s="789"/>
      <c r="G12" s="789"/>
      <c r="H12" s="789"/>
      <c r="I12" s="789"/>
      <c r="J12" s="789"/>
      <c r="K12" s="789"/>
      <c r="L12" s="789"/>
      <c r="M12" s="789"/>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row>
    <row r="13" spans="1:79" ht="15.75" thickTop="1">
      <c r="A13" t="s">
        <v>23</v>
      </c>
      <c r="B13" s="357" t="s">
        <v>823</v>
      </c>
      <c r="C13" s="358" t="str">
        <f>IF(VLOOKUP(B13,'3.Tasks'!$B$4:$C$23,2,FALSE)=0,"NA",VLOOKUP(B13,'3.Tasks'!$B$4:$C$23,2,FALSE))</f>
        <v>NA</v>
      </c>
      <c r="D13" s="359">
        <f ca="1">HLOOKUP(A13,CAL_BO!$BB$4:$BU$30,27,FALSE)+(HLOOKUP(A13,'4.1'!$AP$4:$BI$10,7,FALSE))</f>
        <v>0</v>
      </c>
      <c r="E13" s="360"/>
      <c r="F13" s="360"/>
      <c r="G13" s="359">
        <f>HLOOKUP(A13,'5.Equipments'!$AJ$2:$BC$23,22,FALSE)</f>
        <v>0</v>
      </c>
      <c r="H13" s="360"/>
      <c r="I13" s="360"/>
      <c r="J13" s="360"/>
      <c r="K13" s="361">
        <f ca="1">SUM(D13:J13)*0.25</f>
        <v>0</v>
      </c>
      <c r="L13" s="362">
        <v>0</v>
      </c>
      <c r="M13" s="363">
        <f t="shared" ref="M13" ca="1" si="7">SUM(D13:L13)</f>
        <v>0</v>
      </c>
      <c r="N13" s="122">
        <f ca="1">+'3.Tasks'!J9</f>
        <v>0</v>
      </c>
      <c r="O13" s="122">
        <f ca="1">+'3.Tasks'!K9</f>
        <v>0</v>
      </c>
      <c r="P13" s="122" t="e">
        <f ca="1">+'3.Tasks'!L9</f>
        <v>#N/A</v>
      </c>
      <c r="Q13" s="122" t="e">
        <f ca="1">+'3.Tasks'!M9</f>
        <v>#N/A</v>
      </c>
      <c r="R13" s="122" t="e">
        <f ca="1">+'3.Tasks'!N9</f>
        <v>#N/A</v>
      </c>
      <c r="S13" s="122" t="e">
        <f ca="1">+'3.Tasks'!O9</f>
        <v>#N/A</v>
      </c>
      <c r="T13" s="122" t="e">
        <f ca="1">+'3.Tasks'!P9</f>
        <v>#N/A</v>
      </c>
      <c r="U13" s="122" t="e">
        <f ca="1">+'3.Tasks'!Q9</f>
        <v>#N/A</v>
      </c>
      <c r="V13" s="122" t="e">
        <f ca="1">+'3.Tasks'!R9</f>
        <v>#N/A</v>
      </c>
      <c r="W13" s="122" t="e">
        <f ca="1">+'3.Tasks'!S9</f>
        <v>#N/A</v>
      </c>
      <c r="X13" s="122" t="e">
        <f ca="1">+'3.Tasks'!T9</f>
        <v>#N/A</v>
      </c>
      <c r="Y13" s="122" t="e">
        <f ca="1">+'3.Tasks'!U9</f>
        <v>#N/A</v>
      </c>
      <c r="Z13" s="122" t="e">
        <f ca="1">+'3.Tasks'!V9</f>
        <v>#N/A</v>
      </c>
      <c r="AA13" s="122" t="e">
        <f ca="1">+'3.Tasks'!W9</f>
        <v>#N/A</v>
      </c>
      <c r="AB13" s="122" t="e">
        <f ca="1">+'3.Tasks'!X9</f>
        <v>#N/A</v>
      </c>
      <c r="AC13" s="122" t="e">
        <f ca="1">+'3.Tasks'!Y9</f>
        <v>#N/A</v>
      </c>
      <c r="AD13" s="122" t="e">
        <f ca="1">+'3.Tasks'!Z9</f>
        <v>#N/A</v>
      </c>
      <c r="AE13" s="122" t="e">
        <f ca="1">+'3.Tasks'!AA9</f>
        <v>#N/A</v>
      </c>
      <c r="AF13" s="122" t="e">
        <f ca="1">+'3.Tasks'!AB9</f>
        <v>#N/A</v>
      </c>
      <c r="AG13" s="122" t="e">
        <f ca="1">+'3.Tasks'!AC9</f>
        <v>#N/A</v>
      </c>
      <c r="AH13" s="122" t="e">
        <f ca="1">+'3.Tasks'!AD9</f>
        <v>#N/A</v>
      </c>
      <c r="AI13" s="122" t="e">
        <f ca="1">+'3.Tasks'!AE9</f>
        <v>#N/A</v>
      </c>
      <c r="AJ13" s="122" t="e">
        <f ca="1">+'3.Tasks'!AF9</f>
        <v>#N/A</v>
      </c>
      <c r="AK13" s="122" t="e">
        <f ca="1">+'3.Tasks'!AG9</f>
        <v>#N/A</v>
      </c>
      <c r="AL13" s="122" t="e">
        <f ca="1">+'3.Tasks'!AH9</f>
        <v>#N/A</v>
      </c>
      <c r="AM13" s="122" t="e">
        <f ca="1">+'3.Tasks'!AI9</f>
        <v>#N/A</v>
      </c>
      <c r="AN13" s="122" t="e">
        <f ca="1">+'3.Tasks'!AJ9</f>
        <v>#N/A</v>
      </c>
      <c r="AO13" s="122" t="e">
        <f ca="1">+'3.Tasks'!AK9</f>
        <v>#N/A</v>
      </c>
      <c r="AP13" s="122" t="e">
        <f ca="1">+'3.Tasks'!AL9</f>
        <v>#N/A</v>
      </c>
      <c r="AQ13" s="122" t="e">
        <f ca="1">+'3.Tasks'!AM9</f>
        <v>#N/A</v>
      </c>
      <c r="AR13" s="122" t="e">
        <f ca="1">+'3.Tasks'!AN9</f>
        <v>#N/A</v>
      </c>
      <c r="AS13" s="122" t="e">
        <f ca="1">+'3.Tasks'!AO9</f>
        <v>#N/A</v>
      </c>
      <c r="AT13" s="122" t="e">
        <f ca="1">+'3.Tasks'!AP9</f>
        <v>#N/A</v>
      </c>
      <c r="AU13" s="122" t="e">
        <f ca="1">+'3.Tasks'!AQ9</f>
        <v>#N/A</v>
      </c>
      <c r="AV13" s="122" t="e">
        <f ca="1">+'3.Tasks'!AR9</f>
        <v>#N/A</v>
      </c>
      <c r="AW13" s="122" t="e">
        <f ca="1">+'3.Tasks'!AS9</f>
        <v>#N/A</v>
      </c>
      <c r="AX13" s="122" t="e">
        <f ca="1">SUBTOTAL(9,N13:AW13)</f>
        <v>#N/A</v>
      </c>
      <c r="AY13" s="122" t="e">
        <f ca="1">SUM(N13:Y13)</f>
        <v>#N/A</v>
      </c>
      <c r="AZ13" s="122" t="e">
        <f ca="1">SUM(Z13:AK13)</f>
        <v>#N/A</v>
      </c>
      <c r="BA13" s="122" t="e">
        <f ca="1">SUM(AL13:AW13)</f>
        <v>#N/A</v>
      </c>
      <c r="BB13" s="130" t="e">
        <f ca="1">IF(AX13=0,0,$D13/$AX13*AY13)</f>
        <v>#N/A</v>
      </c>
      <c r="BC13" s="130" t="e">
        <f ca="1">IF(AX13=0,0,$D13/$AX13*AZ13)</f>
        <v>#N/A</v>
      </c>
      <c r="BD13" s="130" t="e">
        <f ca="1">IF(AX13=0,0,$D13/$AX13*BA13)</f>
        <v>#N/A</v>
      </c>
      <c r="BE13" s="130" t="e">
        <f ca="1">IF(AX13=0,0,$E13/$AX13*AY13)</f>
        <v>#N/A</v>
      </c>
      <c r="BF13" s="130" t="e">
        <f ca="1">IF(AX13=0,0,$E13/$AX13*AZ13)</f>
        <v>#N/A</v>
      </c>
      <c r="BG13" s="130" t="e">
        <f ca="1">IF(AX13=0,0,$E13/$AX13*BA13)</f>
        <v>#N/A</v>
      </c>
      <c r="BH13" s="130" t="e">
        <f ca="1">IF(AX13=0,0,$F13/$AX13*AY13)</f>
        <v>#N/A</v>
      </c>
      <c r="BI13" s="130" t="e">
        <f ca="1">IF(AX13=0,0,$F13/$AX13*AZ13)</f>
        <v>#N/A</v>
      </c>
      <c r="BJ13" s="130" t="e">
        <f ca="1">IF(AX13=0,0,$F13/$AX13*BA13)</f>
        <v>#N/A</v>
      </c>
      <c r="BK13" s="130" t="e">
        <f ca="1">IF(AX13=0,0,$G13/$AX13*AY13)</f>
        <v>#N/A</v>
      </c>
      <c r="BL13" s="130" t="e">
        <f ca="1">IF(AX13=0,0,$G13/$AX13*AZ13)</f>
        <v>#N/A</v>
      </c>
      <c r="BM13" s="130" t="e">
        <f ca="1">IF(AX13=0,0,$G13/$AX13*BA13)</f>
        <v>#N/A</v>
      </c>
      <c r="BN13" s="130" t="e">
        <f ca="1">IF(AX13=0,0,$H13/$AX13*AY13)</f>
        <v>#N/A</v>
      </c>
      <c r="BO13" s="130" t="e">
        <f ca="1">IF(AX13=0,0,$H13/$AX13*AZ13)</f>
        <v>#N/A</v>
      </c>
      <c r="BP13" s="130" t="e">
        <f ca="1">IF(AX13=0,0,$H13/$AX13*BA13)</f>
        <v>#N/A</v>
      </c>
      <c r="BQ13" s="130" t="e">
        <f ca="1">IF(AX13=0,0,$I13/$AX13*AY13)</f>
        <v>#N/A</v>
      </c>
      <c r="BR13" s="130" t="e">
        <f ca="1">IF(AX13=0,0,$I13/$AX13*AZ13)</f>
        <v>#N/A</v>
      </c>
      <c r="BS13" s="130" t="e">
        <f ca="1">IF(AX13=0,0,$I13/$AX13*BA13)</f>
        <v>#N/A</v>
      </c>
      <c r="BT13" s="130" t="e">
        <f ca="1">IF(AX13=0,0,$J13/$AX13*AY13)</f>
        <v>#N/A</v>
      </c>
      <c r="BU13" s="130" t="e">
        <f ca="1">IF(AX13=0,0,$J13/$AX13*AZ13)</f>
        <v>#N/A</v>
      </c>
      <c r="BV13" s="130" t="e">
        <f ca="1">IF(AX13=0,0,$J13/$AX13*BA13)</f>
        <v>#N/A</v>
      </c>
      <c r="BW13" s="130" t="e">
        <f ca="1">IF(AX13=0,0,$L13/$AX13*AY13)</f>
        <v>#N/A</v>
      </c>
      <c r="BX13" s="130" t="e">
        <f ca="1">IF(AX13=0,0,$L13/$AX13*AZ13)</f>
        <v>#N/A</v>
      </c>
      <c r="BY13" s="130" t="e">
        <f ca="1">IF(AX13=0,0,$L13/$AX13*BA13)</f>
        <v>#N/A</v>
      </c>
    </row>
    <row r="14" spans="1:79" ht="74.95" customHeight="1" thickBot="1">
      <c r="B14" s="364" t="s">
        <v>693</v>
      </c>
      <c r="C14" s="789" t="str">
        <f>IF(C13="NA","NA","")</f>
        <v>NA</v>
      </c>
      <c r="D14" s="789"/>
      <c r="E14" s="789"/>
      <c r="F14" s="789"/>
      <c r="G14" s="789"/>
      <c r="H14" s="789"/>
      <c r="I14" s="789"/>
      <c r="J14" s="789"/>
      <c r="K14" s="789"/>
      <c r="L14" s="789"/>
      <c r="M14" s="789"/>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9" ht="15.75" thickTop="1">
      <c r="A15" t="s">
        <v>24</v>
      </c>
      <c r="B15" s="357" t="s">
        <v>824</v>
      </c>
      <c r="C15" s="358" t="str">
        <f>IF(VLOOKUP(B15,'3.Tasks'!$B$4:$C$23,2,FALSE)=0,"NA",VLOOKUP(B15,'3.Tasks'!$B$4:$C$23,2,FALSE))</f>
        <v>NA</v>
      </c>
      <c r="D15" s="359">
        <f ca="1">HLOOKUP(A15,CAL_BO!$BB$4:$BU$30,27,FALSE)+(HLOOKUP(A15,'4.1'!$AP$4:$BI$10,7,FALSE))</f>
        <v>0</v>
      </c>
      <c r="E15" s="360"/>
      <c r="F15" s="360"/>
      <c r="G15" s="359">
        <f>HLOOKUP(A15,'5.Equipments'!$AJ$2:$BC$23,22,FALSE)</f>
        <v>0</v>
      </c>
      <c r="H15" s="360"/>
      <c r="I15" s="360"/>
      <c r="J15" s="360"/>
      <c r="K15" s="361">
        <f t="shared" ref="K15" ca="1" si="8">SUM(D15:J15)*0.25</f>
        <v>0</v>
      </c>
      <c r="L15" s="362">
        <v>0</v>
      </c>
      <c r="M15" s="363">
        <f t="shared" ref="M15" ca="1" si="9">SUM(D15:L15)</f>
        <v>0</v>
      </c>
      <c r="N15" s="122">
        <f ca="1">+'3.Tasks'!J10</f>
        <v>0</v>
      </c>
      <c r="O15" s="122">
        <f ca="1">+'3.Tasks'!K10</f>
        <v>0</v>
      </c>
      <c r="P15" s="122" t="e">
        <f ca="1">+'3.Tasks'!L10</f>
        <v>#N/A</v>
      </c>
      <c r="Q15" s="122" t="e">
        <f ca="1">+'3.Tasks'!M10</f>
        <v>#N/A</v>
      </c>
      <c r="R15" s="122" t="e">
        <f ca="1">+'3.Tasks'!N10</f>
        <v>#N/A</v>
      </c>
      <c r="S15" s="122" t="e">
        <f ca="1">+'3.Tasks'!O10</f>
        <v>#N/A</v>
      </c>
      <c r="T15" s="122" t="e">
        <f ca="1">+'3.Tasks'!P10</f>
        <v>#N/A</v>
      </c>
      <c r="U15" s="122" t="e">
        <f ca="1">+'3.Tasks'!Q10</f>
        <v>#N/A</v>
      </c>
      <c r="V15" s="122" t="e">
        <f ca="1">+'3.Tasks'!R10</f>
        <v>#N/A</v>
      </c>
      <c r="W15" s="122" t="e">
        <f ca="1">+'3.Tasks'!S10</f>
        <v>#N/A</v>
      </c>
      <c r="X15" s="122" t="e">
        <f ca="1">+'3.Tasks'!T10</f>
        <v>#N/A</v>
      </c>
      <c r="Y15" s="122" t="e">
        <f ca="1">+'3.Tasks'!U10</f>
        <v>#N/A</v>
      </c>
      <c r="Z15" s="122" t="e">
        <f ca="1">+'3.Tasks'!V10</f>
        <v>#N/A</v>
      </c>
      <c r="AA15" s="122" t="e">
        <f ca="1">+'3.Tasks'!W10</f>
        <v>#N/A</v>
      </c>
      <c r="AB15" s="122" t="e">
        <f ca="1">+'3.Tasks'!X10</f>
        <v>#N/A</v>
      </c>
      <c r="AC15" s="122" t="e">
        <f ca="1">+'3.Tasks'!Y10</f>
        <v>#N/A</v>
      </c>
      <c r="AD15" s="122" t="e">
        <f ca="1">+'3.Tasks'!Z10</f>
        <v>#N/A</v>
      </c>
      <c r="AE15" s="122" t="e">
        <f ca="1">+'3.Tasks'!AA10</f>
        <v>#N/A</v>
      </c>
      <c r="AF15" s="122" t="e">
        <f ca="1">+'3.Tasks'!AB10</f>
        <v>#N/A</v>
      </c>
      <c r="AG15" s="122" t="e">
        <f ca="1">+'3.Tasks'!AC10</f>
        <v>#N/A</v>
      </c>
      <c r="AH15" s="122" t="e">
        <f ca="1">+'3.Tasks'!AD10</f>
        <v>#N/A</v>
      </c>
      <c r="AI15" s="122" t="e">
        <f ca="1">+'3.Tasks'!AE10</f>
        <v>#N/A</v>
      </c>
      <c r="AJ15" s="122" t="e">
        <f ca="1">+'3.Tasks'!AF10</f>
        <v>#N/A</v>
      </c>
      <c r="AK15" s="122" t="e">
        <f ca="1">+'3.Tasks'!AG10</f>
        <v>#N/A</v>
      </c>
      <c r="AL15" s="122" t="e">
        <f ca="1">+'3.Tasks'!AH10</f>
        <v>#N/A</v>
      </c>
      <c r="AM15" s="122" t="e">
        <f ca="1">+'3.Tasks'!AI10</f>
        <v>#N/A</v>
      </c>
      <c r="AN15" s="122" t="e">
        <f ca="1">+'3.Tasks'!AJ10</f>
        <v>#N/A</v>
      </c>
      <c r="AO15" s="122" t="e">
        <f ca="1">+'3.Tasks'!AK10</f>
        <v>#N/A</v>
      </c>
      <c r="AP15" s="122" t="e">
        <f ca="1">+'3.Tasks'!AL10</f>
        <v>#N/A</v>
      </c>
      <c r="AQ15" s="122" t="e">
        <f ca="1">+'3.Tasks'!AM10</f>
        <v>#N/A</v>
      </c>
      <c r="AR15" s="122" t="e">
        <f ca="1">+'3.Tasks'!AN10</f>
        <v>#N/A</v>
      </c>
      <c r="AS15" s="122" t="e">
        <f ca="1">+'3.Tasks'!AO10</f>
        <v>#N/A</v>
      </c>
      <c r="AT15" s="122" t="e">
        <f ca="1">+'3.Tasks'!AP10</f>
        <v>#N/A</v>
      </c>
      <c r="AU15" s="122" t="e">
        <f ca="1">+'3.Tasks'!AQ10</f>
        <v>#N/A</v>
      </c>
      <c r="AV15" s="122" t="e">
        <f ca="1">+'3.Tasks'!AR10</f>
        <v>#N/A</v>
      </c>
      <c r="AW15" s="122" t="e">
        <f ca="1">+'3.Tasks'!AS10</f>
        <v>#N/A</v>
      </c>
      <c r="AX15" s="122" t="e">
        <f ca="1">SUBTOTAL(9,N15:AW15)</f>
        <v>#N/A</v>
      </c>
      <c r="AY15" s="122" t="e">
        <f ca="1">SUM(N15:Y15)</f>
        <v>#N/A</v>
      </c>
      <c r="AZ15" s="122" t="e">
        <f ca="1">SUM(Z15:AK15)</f>
        <v>#N/A</v>
      </c>
      <c r="BA15" s="122" t="e">
        <f ca="1">SUM(AL15:AW15)</f>
        <v>#N/A</v>
      </c>
      <c r="BB15" s="130" t="e">
        <f ca="1">IF(AX15=0,0,$D15/$AX15*AY15)</f>
        <v>#N/A</v>
      </c>
      <c r="BC15" s="130" t="e">
        <f ca="1">IF(AX15=0,0,$D15/$AX15*AZ15)</f>
        <v>#N/A</v>
      </c>
      <c r="BD15" s="130" t="e">
        <f ca="1">IF(AX15=0,0,$D15/$AX15*BA15)</f>
        <v>#N/A</v>
      </c>
      <c r="BE15" s="130" t="e">
        <f ca="1">IF(AX15=0,0,$E15/$AX15*AY15)</f>
        <v>#N/A</v>
      </c>
      <c r="BF15" s="130" t="e">
        <f ca="1">IF(AX15=0,0,$E15/$AX15*AZ15)</f>
        <v>#N/A</v>
      </c>
      <c r="BG15" s="130" t="e">
        <f ca="1">IF(AX15=0,0,$E15/$AX15*BA15)</f>
        <v>#N/A</v>
      </c>
      <c r="BH15" s="130" t="e">
        <f ca="1">IF(AX15=0,0,$F15/$AX15*AY15)</f>
        <v>#N/A</v>
      </c>
      <c r="BI15" s="130" t="e">
        <f ca="1">IF(AX15=0,0,$F15/$AX15*AZ15)</f>
        <v>#N/A</v>
      </c>
      <c r="BJ15" s="130" t="e">
        <f ca="1">IF(AX15=0,0,$F15/$AX15*BA15)</f>
        <v>#N/A</v>
      </c>
      <c r="BK15" s="130" t="e">
        <f ca="1">IF(AX15=0,0,$G15/$AX15*AY15)</f>
        <v>#N/A</v>
      </c>
      <c r="BL15" s="130" t="e">
        <f ca="1">IF(AX15=0,0,$G15/$AX15*AZ15)</f>
        <v>#N/A</v>
      </c>
      <c r="BM15" s="130" t="e">
        <f ca="1">IF(AX15=0,0,$G15/$AX15*BA15)</f>
        <v>#N/A</v>
      </c>
      <c r="BN15" s="130" t="e">
        <f ca="1">IF(AX15=0,0,$H15/$AX15*AY15)</f>
        <v>#N/A</v>
      </c>
      <c r="BO15" s="130" t="e">
        <f ca="1">IF(AX15=0,0,$H15/$AX15*AZ15)</f>
        <v>#N/A</v>
      </c>
      <c r="BP15" s="130" t="e">
        <f ca="1">IF(AX15=0,0,$H15/$AX15*BA15)</f>
        <v>#N/A</v>
      </c>
      <c r="BQ15" s="130" t="e">
        <f ca="1">IF(AX15=0,0,$I15/$AX15*AY15)</f>
        <v>#N/A</v>
      </c>
      <c r="BR15" s="130" t="e">
        <f ca="1">IF(AX15=0,0,$I15/$AX15*AZ15)</f>
        <v>#N/A</v>
      </c>
      <c r="BS15" s="130" t="e">
        <f ca="1">IF(AX15=0,0,$I15/$AX15*BA15)</f>
        <v>#N/A</v>
      </c>
      <c r="BT15" s="130" t="e">
        <f ca="1">IF(AX15=0,0,$J15/$AX15*AY15)</f>
        <v>#N/A</v>
      </c>
      <c r="BU15" s="130" t="e">
        <f ca="1">IF(AX15=0,0,$J15/$AX15*AZ15)</f>
        <v>#N/A</v>
      </c>
      <c r="BV15" s="130" t="e">
        <f ca="1">IF(AX15=0,0,$J15/$AX15*BA15)</f>
        <v>#N/A</v>
      </c>
      <c r="BW15" s="130" t="e">
        <f ca="1">IF(AX15=0,0,$L15/$AX15*AY15)</f>
        <v>#N/A</v>
      </c>
      <c r="BX15" s="130" t="e">
        <f ca="1">IF(AX15=0,0,$L15/$AX15*AZ15)</f>
        <v>#N/A</v>
      </c>
      <c r="BY15" s="130" t="e">
        <f ca="1">IF(AX15=0,0,$L15/$AX15*BA15)</f>
        <v>#N/A</v>
      </c>
    </row>
    <row r="16" spans="1:79" ht="74.95" customHeight="1" thickBot="1">
      <c r="B16" s="364" t="s">
        <v>693</v>
      </c>
      <c r="C16" s="789" t="str">
        <f>IF(C15="NA","NA","")</f>
        <v>NA</v>
      </c>
      <c r="D16" s="789"/>
      <c r="E16" s="789"/>
      <c r="F16" s="789"/>
      <c r="G16" s="789"/>
      <c r="H16" s="789"/>
      <c r="I16" s="789"/>
      <c r="J16" s="789"/>
      <c r="K16" s="789"/>
      <c r="L16" s="789"/>
      <c r="M16" s="789"/>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77" ht="15.75" thickTop="1">
      <c r="A17" t="s">
        <v>25</v>
      </c>
      <c r="B17" s="357" t="s">
        <v>825</v>
      </c>
      <c r="C17" s="358" t="str">
        <f>IF(VLOOKUP(B17,'3.Tasks'!$B$4:$C$23,2,FALSE)=0,"NA",VLOOKUP(B17,'3.Tasks'!$B$4:$C$23,2,FALSE))</f>
        <v>NA</v>
      </c>
      <c r="D17" s="359">
        <f ca="1">HLOOKUP(A17,CAL_BO!$BB$4:$BU$30,27,FALSE)+(HLOOKUP(A17,'4.1'!$AP$4:$BI$10,7,FALSE))</f>
        <v>0</v>
      </c>
      <c r="E17" s="360"/>
      <c r="F17" s="360"/>
      <c r="G17" s="359">
        <f>HLOOKUP(A17,'5.Equipments'!$AJ$2:$BC$23,22,FALSE)</f>
        <v>0</v>
      </c>
      <c r="H17" s="360"/>
      <c r="I17" s="360"/>
      <c r="J17" s="360"/>
      <c r="K17" s="361">
        <f t="shared" ref="K17" ca="1" si="10">SUM(D17:J17)*0.25</f>
        <v>0</v>
      </c>
      <c r="L17" s="362">
        <v>0</v>
      </c>
      <c r="M17" s="363">
        <f t="shared" ref="M17" ca="1" si="11">SUM(D17:L17)</f>
        <v>0</v>
      </c>
      <c r="N17" s="122">
        <f ca="1">+'3.Tasks'!J11</f>
        <v>0</v>
      </c>
      <c r="O17" s="122">
        <f ca="1">+'3.Tasks'!K11</f>
        <v>0</v>
      </c>
      <c r="P17" s="122" t="e">
        <f ca="1">+'3.Tasks'!L11</f>
        <v>#N/A</v>
      </c>
      <c r="Q17" s="122" t="e">
        <f ca="1">+'3.Tasks'!M11</f>
        <v>#N/A</v>
      </c>
      <c r="R17" s="122" t="e">
        <f ca="1">+'3.Tasks'!N11</f>
        <v>#N/A</v>
      </c>
      <c r="S17" s="122" t="e">
        <f ca="1">+'3.Tasks'!O11</f>
        <v>#N/A</v>
      </c>
      <c r="T17" s="122" t="e">
        <f ca="1">+'3.Tasks'!P11</f>
        <v>#N/A</v>
      </c>
      <c r="U17" s="122" t="e">
        <f ca="1">+'3.Tasks'!Q11</f>
        <v>#N/A</v>
      </c>
      <c r="V17" s="122" t="e">
        <f ca="1">+'3.Tasks'!R11</f>
        <v>#N/A</v>
      </c>
      <c r="W17" s="122" t="e">
        <f ca="1">+'3.Tasks'!S11</f>
        <v>#N/A</v>
      </c>
      <c r="X17" s="122" t="e">
        <f ca="1">+'3.Tasks'!T11</f>
        <v>#N/A</v>
      </c>
      <c r="Y17" s="122" t="e">
        <f ca="1">+'3.Tasks'!U11</f>
        <v>#N/A</v>
      </c>
      <c r="Z17" s="122" t="e">
        <f ca="1">+'3.Tasks'!V11</f>
        <v>#N/A</v>
      </c>
      <c r="AA17" s="122" t="e">
        <f ca="1">+'3.Tasks'!W11</f>
        <v>#N/A</v>
      </c>
      <c r="AB17" s="122" t="e">
        <f ca="1">+'3.Tasks'!X11</f>
        <v>#N/A</v>
      </c>
      <c r="AC17" s="122" t="e">
        <f ca="1">+'3.Tasks'!Y11</f>
        <v>#N/A</v>
      </c>
      <c r="AD17" s="122" t="e">
        <f ca="1">+'3.Tasks'!Z11</f>
        <v>#N/A</v>
      </c>
      <c r="AE17" s="122" t="e">
        <f ca="1">+'3.Tasks'!AA11</f>
        <v>#N/A</v>
      </c>
      <c r="AF17" s="122" t="e">
        <f ca="1">+'3.Tasks'!AB11</f>
        <v>#N/A</v>
      </c>
      <c r="AG17" s="122" t="e">
        <f ca="1">+'3.Tasks'!AC11</f>
        <v>#N/A</v>
      </c>
      <c r="AH17" s="122" t="e">
        <f ca="1">+'3.Tasks'!AD11</f>
        <v>#N/A</v>
      </c>
      <c r="AI17" s="122" t="e">
        <f ca="1">+'3.Tasks'!AE11</f>
        <v>#N/A</v>
      </c>
      <c r="AJ17" s="122" t="e">
        <f ca="1">+'3.Tasks'!AF11</f>
        <v>#N/A</v>
      </c>
      <c r="AK17" s="122" t="e">
        <f ca="1">+'3.Tasks'!AG11</f>
        <v>#N/A</v>
      </c>
      <c r="AL17" s="122" t="e">
        <f ca="1">+'3.Tasks'!AH11</f>
        <v>#N/A</v>
      </c>
      <c r="AM17" s="122" t="e">
        <f ca="1">+'3.Tasks'!AI11</f>
        <v>#N/A</v>
      </c>
      <c r="AN17" s="122" t="e">
        <f ca="1">+'3.Tasks'!AJ11</f>
        <v>#N/A</v>
      </c>
      <c r="AO17" s="122" t="e">
        <f ca="1">+'3.Tasks'!AK11</f>
        <v>#N/A</v>
      </c>
      <c r="AP17" s="122" t="e">
        <f ca="1">+'3.Tasks'!AL11</f>
        <v>#N/A</v>
      </c>
      <c r="AQ17" s="122" t="e">
        <f ca="1">+'3.Tasks'!AM11</f>
        <v>#N/A</v>
      </c>
      <c r="AR17" s="122" t="e">
        <f ca="1">+'3.Tasks'!AN11</f>
        <v>#N/A</v>
      </c>
      <c r="AS17" s="122" t="e">
        <f ca="1">+'3.Tasks'!AO11</f>
        <v>#N/A</v>
      </c>
      <c r="AT17" s="122" t="e">
        <f ca="1">+'3.Tasks'!AP11</f>
        <v>#N/A</v>
      </c>
      <c r="AU17" s="122" t="e">
        <f ca="1">+'3.Tasks'!AQ11</f>
        <v>#N/A</v>
      </c>
      <c r="AV17" s="122" t="e">
        <f ca="1">+'3.Tasks'!AR11</f>
        <v>#N/A</v>
      </c>
      <c r="AW17" s="122" t="e">
        <f ca="1">+'3.Tasks'!AS11</f>
        <v>#N/A</v>
      </c>
      <c r="AX17" s="122" t="e">
        <f ca="1">SUBTOTAL(9,N17:AW17)</f>
        <v>#N/A</v>
      </c>
      <c r="AY17" s="122" t="e">
        <f ca="1">SUM(N17:Y17)</f>
        <v>#N/A</v>
      </c>
      <c r="AZ17" s="122" t="e">
        <f ca="1">SUM(Z17:AK17)</f>
        <v>#N/A</v>
      </c>
      <c r="BA17" s="122" t="e">
        <f ca="1">SUM(AL17:AW17)</f>
        <v>#N/A</v>
      </c>
      <c r="BB17" s="130" t="e">
        <f ca="1">IF(AX17=0,0,$D17/$AX17*AY17)</f>
        <v>#N/A</v>
      </c>
      <c r="BC17" s="130" t="e">
        <f ca="1">IF(AX17=0,0,$D17/$AX17*AZ17)</f>
        <v>#N/A</v>
      </c>
      <c r="BD17" s="130" t="e">
        <f ca="1">IF(AX17=0,0,$D17/$AX17*BA17)</f>
        <v>#N/A</v>
      </c>
      <c r="BE17" s="130" t="e">
        <f ca="1">IF(AX17=0,0,$E17/$AX17*AY17)</f>
        <v>#N/A</v>
      </c>
      <c r="BF17" s="130" t="e">
        <f ca="1">IF(AX17=0,0,$E17/$AX17*AZ17)</f>
        <v>#N/A</v>
      </c>
      <c r="BG17" s="130" t="e">
        <f ca="1">IF(AX17=0,0,$E17/$AX17*BA17)</f>
        <v>#N/A</v>
      </c>
      <c r="BH17" s="130" t="e">
        <f ca="1">IF(AX17=0,0,$F17/$AX17*AY17)</f>
        <v>#N/A</v>
      </c>
      <c r="BI17" s="130" t="e">
        <f ca="1">IF(AX17=0,0,$F17/$AX17*AZ17)</f>
        <v>#N/A</v>
      </c>
      <c r="BJ17" s="130" t="e">
        <f ca="1">IF(AX17=0,0,$F17/$AX17*BA17)</f>
        <v>#N/A</v>
      </c>
      <c r="BK17" s="130" t="e">
        <f ca="1">IF(AX17=0,0,$G17/$AX17*AY17)</f>
        <v>#N/A</v>
      </c>
      <c r="BL17" s="130" t="e">
        <f ca="1">IF(AX17=0,0,$G17/$AX17*AZ17)</f>
        <v>#N/A</v>
      </c>
      <c r="BM17" s="130" t="e">
        <f ca="1">IF(AX17=0,0,$G17/$AX17*BA17)</f>
        <v>#N/A</v>
      </c>
      <c r="BN17" s="130" t="e">
        <f ca="1">IF(AX17=0,0,$H17/$AX17*AY17)</f>
        <v>#N/A</v>
      </c>
      <c r="BO17" s="130" t="e">
        <f ca="1">IF(AX17=0,0,$H17/$AX17*AZ17)</f>
        <v>#N/A</v>
      </c>
      <c r="BP17" s="130" t="e">
        <f ca="1">IF(AX17=0,0,$H17/$AX17*BA17)</f>
        <v>#N/A</v>
      </c>
      <c r="BQ17" s="130" t="e">
        <f ca="1">IF(AX17=0,0,$I17/$AX17*AY17)</f>
        <v>#N/A</v>
      </c>
      <c r="BR17" s="130" t="e">
        <f ca="1">IF(AX17=0,0,$I17/$AX17*AZ17)</f>
        <v>#N/A</v>
      </c>
      <c r="BS17" s="130" t="e">
        <f ca="1">IF(AX17=0,0,$I17/$AX17*BA17)</f>
        <v>#N/A</v>
      </c>
      <c r="BT17" s="130" t="e">
        <f ca="1">IF(AX17=0,0,$J17/$AX17*AY17)</f>
        <v>#N/A</v>
      </c>
      <c r="BU17" s="130" t="e">
        <f ca="1">IF(AX17=0,0,$J17/$AX17*AZ17)</f>
        <v>#N/A</v>
      </c>
      <c r="BV17" s="130" t="e">
        <f ca="1">IF(AX17=0,0,$J17/$AX17*BA17)</f>
        <v>#N/A</v>
      </c>
      <c r="BW17" s="130" t="e">
        <f ca="1">IF(AX17=0,0,$L17/$AX17*AY17)</f>
        <v>#N/A</v>
      </c>
      <c r="BX17" s="130" t="e">
        <f ca="1">IF(AX17=0,0,$L17/$AX17*AZ17)</f>
        <v>#N/A</v>
      </c>
      <c r="BY17" s="130" t="e">
        <f ca="1">IF(AX17=0,0,$L17/$AX17*BA17)</f>
        <v>#N/A</v>
      </c>
    </row>
    <row r="18" spans="1:77" ht="74.95" customHeight="1" thickBot="1">
      <c r="B18" s="364" t="s">
        <v>693</v>
      </c>
      <c r="C18" s="789" t="str">
        <f>IF(C17="NA","NA","")</f>
        <v>NA</v>
      </c>
      <c r="D18" s="789"/>
      <c r="E18" s="789"/>
      <c r="F18" s="789"/>
      <c r="G18" s="789"/>
      <c r="H18" s="789"/>
      <c r="I18" s="789"/>
      <c r="J18" s="789"/>
      <c r="K18" s="789"/>
      <c r="L18" s="789"/>
      <c r="M18" s="789"/>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row>
    <row r="19" spans="1:77" ht="15.75" thickTop="1">
      <c r="A19" t="s">
        <v>26</v>
      </c>
      <c r="B19" s="357" t="s">
        <v>826</v>
      </c>
      <c r="C19" s="358" t="str">
        <f>IF(VLOOKUP(B19,'3.Tasks'!$B$4:$C$23,2,FALSE)=0,"NA",VLOOKUP(B19,'3.Tasks'!$B$4:$C$23,2,FALSE))</f>
        <v>NA</v>
      </c>
      <c r="D19" s="359">
        <f ca="1">HLOOKUP(A19,CAL_BO!$BB$4:$BU$30,27,FALSE)+(HLOOKUP(A19,'4.1'!$AP$4:$BI$10,7,FALSE))</f>
        <v>0</v>
      </c>
      <c r="E19" s="360"/>
      <c r="F19" s="360"/>
      <c r="G19" s="359">
        <f>HLOOKUP(A19,'5.Equipments'!$AJ$2:$BC$23,22,FALSE)</f>
        <v>0</v>
      </c>
      <c r="H19" s="360"/>
      <c r="I19" s="360"/>
      <c r="J19" s="360"/>
      <c r="K19" s="361">
        <f t="shared" ref="K19" ca="1" si="12">SUM(D19:J19)*0.25</f>
        <v>0</v>
      </c>
      <c r="L19" s="362">
        <v>0</v>
      </c>
      <c r="M19" s="363">
        <f t="shared" ref="M19" ca="1" si="13">SUM(D19:L19)</f>
        <v>0</v>
      </c>
      <c r="N19" s="122">
        <f ca="1">+'3.Tasks'!J12</f>
        <v>0</v>
      </c>
      <c r="O19" s="122">
        <f ca="1">+'3.Tasks'!K12</f>
        <v>0</v>
      </c>
      <c r="P19" s="122" t="e">
        <f ca="1">+'3.Tasks'!L12</f>
        <v>#N/A</v>
      </c>
      <c r="Q19" s="122" t="e">
        <f ca="1">+'3.Tasks'!M12</f>
        <v>#N/A</v>
      </c>
      <c r="R19" s="122" t="e">
        <f ca="1">+'3.Tasks'!N12</f>
        <v>#N/A</v>
      </c>
      <c r="S19" s="122" t="e">
        <f ca="1">+'3.Tasks'!O12</f>
        <v>#N/A</v>
      </c>
      <c r="T19" s="122" t="e">
        <f ca="1">+'3.Tasks'!P12</f>
        <v>#N/A</v>
      </c>
      <c r="U19" s="122" t="e">
        <f ca="1">+'3.Tasks'!Q12</f>
        <v>#N/A</v>
      </c>
      <c r="V19" s="122" t="e">
        <f ca="1">+'3.Tasks'!R12</f>
        <v>#N/A</v>
      </c>
      <c r="W19" s="122" t="e">
        <f ca="1">+'3.Tasks'!S12</f>
        <v>#N/A</v>
      </c>
      <c r="X19" s="122" t="e">
        <f ca="1">+'3.Tasks'!T12</f>
        <v>#N/A</v>
      </c>
      <c r="Y19" s="122" t="e">
        <f ca="1">+'3.Tasks'!U12</f>
        <v>#N/A</v>
      </c>
      <c r="Z19" s="122" t="e">
        <f ca="1">+'3.Tasks'!V12</f>
        <v>#N/A</v>
      </c>
      <c r="AA19" s="122" t="e">
        <f ca="1">+'3.Tasks'!W12</f>
        <v>#N/A</v>
      </c>
      <c r="AB19" s="122" t="e">
        <f ca="1">+'3.Tasks'!X12</f>
        <v>#N/A</v>
      </c>
      <c r="AC19" s="122" t="e">
        <f ca="1">+'3.Tasks'!Y12</f>
        <v>#N/A</v>
      </c>
      <c r="AD19" s="122" t="e">
        <f ca="1">+'3.Tasks'!Z12</f>
        <v>#N/A</v>
      </c>
      <c r="AE19" s="122" t="e">
        <f ca="1">+'3.Tasks'!AA12</f>
        <v>#N/A</v>
      </c>
      <c r="AF19" s="122" t="e">
        <f ca="1">+'3.Tasks'!AB12</f>
        <v>#N/A</v>
      </c>
      <c r="AG19" s="122" t="e">
        <f ca="1">+'3.Tasks'!AC12</f>
        <v>#N/A</v>
      </c>
      <c r="AH19" s="122" t="e">
        <f ca="1">+'3.Tasks'!AD12</f>
        <v>#N/A</v>
      </c>
      <c r="AI19" s="122" t="e">
        <f ca="1">+'3.Tasks'!AE12</f>
        <v>#N/A</v>
      </c>
      <c r="AJ19" s="122" t="e">
        <f ca="1">+'3.Tasks'!AF12</f>
        <v>#N/A</v>
      </c>
      <c r="AK19" s="122" t="e">
        <f ca="1">+'3.Tasks'!AG12</f>
        <v>#N/A</v>
      </c>
      <c r="AL19" s="122" t="e">
        <f ca="1">+'3.Tasks'!AH12</f>
        <v>#N/A</v>
      </c>
      <c r="AM19" s="122" t="e">
        <f ca="1">+'3.Tasks'!AI12</f>
        <v>#N/A</v>
      </c>
      <c r="AN19" s="122" t="e">
        <f ca="1">+'3.Tasks'!AJ12</f>
        <v>#N/A</v>
      </c>
      <c r="AO19" s="122" t="e">
        <f ca="1">+'3.Tasks'!AK12</f>
        <v>#N/A</v>
      </c>
      <c r="AP19" s="122" t="e">
        <f ca="1">+'3.Tasks'!AL12</f>
        <v>#N/A</v>
      </c>
      <c r="AQ19" s="122" t="e">
        <f ca="1">+'3.Tasks'!AM12</f>
        <v>#N/A</v>
      </c>
      <c r="AR19" s="122" t="e">
        <f ca="1">+'3.Tasks'!AN12</f>
        <v>#N/A</v>
      </c>
      <c r="AS19" s="122" t="e">
        <f ca="1">+'3.Tasks'!AO12</f>
        <v>#N/A</v>
      </c>
      <c r="AT19" s="122" t="e">
        <f ca="1">+'3.Tasks'!AP12</f>
        <v>#N/A</v>
      </c>
      <c r="AU19" s="122" t="e">
        <f ca="1">+'3.Tasks'!AQ12</f>
        <v>#N/A</v>
      </c>
      <c r="AV19" s="122" t="e">
        <f ca="1">+'3.Tasks'!AR12</f>
        <v>#N/A</v>
      </c>
      <c r="AW19" s="122" t="e">
        <f ca="1">+'3.Tasks'!AS12</f>
        <v>#N/A</v>
      </c>
      <c r="AX19" s="122" t="e">
        <f ca="1">SUBTOTAL(9,N19:AW19)</f>
        <v>#N/A</v>
      </c>
      <c r="AY19" s="122" t="e">
        <f ca="1">SUM(N19:Y19)</f>
        <v>#N/A</v>
      </c>
      <c r="AZ19" s="122" t="e">
        <f ca="1">SUM(Z19:AK19)</f>
        <v>#N/A</v>
      </c>
      <c r="BA19" s="122" t="e">
        <f ca="1">SUM(AL19:AW19)</f>
        <v>#N/A</v>
      </c>
      <c r="BB19" s="130" t="e">
        <f ca="1">IF(AX19=0,0,$D19/$AX19*AY19)</f>
        <v>#N/A</v>
      </c>
      <c r="BC19" s="130" t="e">
        <f ca="1">IF(AX19=0,0,$D19/$AX19*AZ19)</f>
        <v>#N/A</v>
      </c>
      <c r="BD19" s="130" t="e">
        <f ca="1">IF(AX19=0,0,$D19/$AX19*BA19)</f>
        <v>#N/A</v>
      </c>
      <c r="BE19" s="130" t="e">
        <f ca="1">IF(AX19=0,0,$E19/$AX19*AY19)</f>
        <v>#N/A</v>
      </c>
      <c r="BF19" s="130" t="e">
        <f ca="1">IF(AX19=0,0,$E19/$AX19*AZ19)</f>
        <v>#N/A</v>
      </c>
      <c r="BG19" s="130" t="e">
        <f ca="1">IF(AX19=0,0,$E19/$AX19*BA19)</f>
        <v>#N/A</v>
      </c>
      <c r="BH19" s="130" t="e">
        <f ca="1">IF(AX19=0,0,$F19/$AX19*AY19)</f>
        <v>#N/A</v>
      </c>
      <c r="BI19" s="130" t="e">
        <f ca="1">IF(AX19=0,0,$F19/$AX19*AZ19)</f>
        <v>#N/A</v>
      </c>
      <c r="BJ19" s="130" t="e">
        <f ca="1">IF(AX19=0,0,$F19/$AX19*BA19)</f>
        <v>#N/A</v>
      </c>
      <c r="BK19" s="130" t="e">
        <f ca="1">IF(AX19=0,0,$G19/$AX19*AY19)</f>
        <v>#N/A</v>
      </c>
      <c r="BL19" s="130" t="e">
        <f ca="1">IF(AX19=0,0,$G19/$AX19*AZ19)</f>
        <v>#N/A</v>
      </c>
      <c r="BM19" s="130" t="e">
        <f ca="1">IF(AX19=0,0,$G19/$AX19*BA19)</f>
        <v>#N/A</v>
      </c>
      <c r="BN19" s="130" t="e">
        <f ca="1">IF(AX19=0,0,$H19/$AX19*AY19)</f>
        <v>#N/A</v>
      </c>
      <c r="BO19" s="130" t="e">
        <f ca="1">IF(AX19=0,0,$H19/$AX19*AZ19)</f>
        <v>#N/A</v>
      </c>
      <c r="BP19" s="130" t="e">
        <f ca="1">IF(AX19=0,0,$H19/$AX19*BA19)</f>
        <v>#N/A</v>
      </c>
      <c r="BQ19" s="130" t="e">
        <f ca="1">IF(AX19=0,0,$I19/$AX19*AY19)</f>
        <v>#N/A</v>
      </c>
      <c r="BR19" s="130" t="e">
        <f ca="1">IF(AX19=0,0,$I19/$AX19*AZ19)</f>
        <v>#N/A</v>
      </c>
      <c r="BS19" s="130" t="e">
        <f ca="1">IF(AX19=0,0,$I19/$AX19*BA19)</f>
        <v>#N/A</v>
      </c>
      <c r="BT19" s="130" t="e">
        <f ca="1">IF(AX19=0,0,$J19/$AX19*AY19)</f>
        <v>#N/A</v>
      </c>
      <c r="BU19" s="130" t="e">
        <f ca="1">IF(AX19=0,0,$J19/$AX19*AZ19)</f>
        <v>#N/A</v>
      </c>
      <c r="BV19" s="130" t="e">
        <f ca="1">IF(AX19=0,0,$J19/$AX19*BA19)</f>
        <v>#N/A</v>
      </c>
      <c r="BW19" s="130" t="e">
        <f ca="1">IF(AX19=0,0,$L19/$AX19*AY19)</f>
        <v>#N/A</v>
      </c>
      <c r="BX19" s="130" t="e">
        <f ca="1">IF(AX19=0,0,$L19/$AX19*AZ19)</f>
        <v>#N/A</v>
      </c>
      <c r="BY19" s="130" t="e">
        <f ca="1">IF(AX19=0,0,$L19/$AX19*BA19)</f>
        <v>#N/A</v>
      </c>
    </row>
    <row r="20" spans="1:77" ht="74.95" customHeight="1" thickBot="1">
      <c r="B20" s="364" t="s">
        <v>693</v>
      </c>
      <c r="C20" s="789" t="str">
        <f>IF(C19="NA","NA","")</f>
        <v>NA</v>
      </c>
      <c r="D20" s="789"/>
      <c r="E20" s="789"/>
      <c r="F20" s="789"/>
      <c r="G20" s="789"/>
      <c r="H20" s="789"/>
      <c r="I20" s="789"/>
      <c r="J20" s="789"/>
      <c r="K20" s="789"/>
      <c r="L20" s="789"/>
      <c r="M20" s="789"/>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row>
    <row r="21" spans="1:77" ht="15.75" thickTop="1">
      <c r="A21" t="s">
        <v>27</v>
      </c>
      <c r="B21" s="357" t="s">
        <v>827</v>
      </c>
      <c r="C21" s="358" t="str">
        <f>IF(VLOOKUP(B21,'3.Tasks'!$B$4:$C$23,2,FALSE)=0,"NA",VLOOKUP(B21,'3.Tasks'!$B$4:$C$23,2,FALSE))</f>
        <v>NA</v>
      </c>
      <c r="D21" s="359">
        <f ca="1">HLOOKUP(A21,CAL_BO!$BB$4:$BU$30,27,FALSE)+(HLOOKUP(A21,'4.1'!$AP$4:$BI$10,7,FALSE))</f>
        <v>0</v>
      </c>
      <c r="E21" s="360"/>
      <c r="F21" s="360"/>
      <c r="G21" s="359">
        <f>HLOOKUP(A21,'5.Equipments'!$AJ$2:$BC$23,22,FALSE)</f>
        <v>0</v>
      </c>
      <c r="H21" s="360"/>
      <c r="I21" s="360"/>
      <c r="J21" s="360"/>
      <c r="K21" s="361">
        <f t="shared" ref="K21" ca="1" si="14">SUM(D21:J21)*0.25</f>
        <v>0</v>
      </c>
      <c r="L21" s="362">
        <v>0</v>
      </c>
      <c r="M21" s="363">
        <f t="shared" ref="M21" ca="1" si="15">SUM(D21:L21)</f>
        <v>0</v>
      </c>
      <c r="N21" s="122">
        <f ca="1">+'3.Tasks'!J13</f>
        <v>0</v>
      </c>
      <c r="O21" s="122">
        <f ca="1">+'3.Tasks'!K13</f>
        <v>0</v>
      </c>
      <c r="P21" s="122" t="e">
        <f ca="1">+'3.Tasks'!L13</f>
        <v>#N/A</v>
      </c>
      <c r="Q21" s="122" t="e">
        <f ca="1">+'3.Tasks'!M13</f>
        <v>#N/A</v>
      </c>
      <c r="R21" s="122" t="e">
        <f ca="1">+'3.Tasks'!N13</f>
        <v>#N/A</v>
      </c>
      <c r="S21" s="122" t="e">
        <f ca="1">+'3.Tasks'!O13</f>
        <v>#N/A</v>
      </c>
      <c r="T21" s="122" t="e">
        <f ca="1">+'3.Tasks'!P13</f>
        <v>#N/A</v>
      </c>
      <c r="U21" s="122" t="e">
        <f ca="1">+'3.Tasks'!Q13</f>
        <v>#N/A</v>
      </c>
      <c r="V21" s="122" t="e">
        <f ca="1">+'3.Tasks'!R13</f>
        <v>#N/A</v>
      </c>
      <c r="W21" s="122" t="e">
        <f ca="1">+'3.Tasks'!S13</f>
        <v>#N/A</v>
      </c>
      <c r="X21" s="122" t="e">
        <f ca="1">+'3.Tasks'!T13</f>
        <v>#N/A</v>
      </c>
      <c r="Y21" s="122" t="e">
        <f ca="1">+'3.Tasks'!U13</f>
        <v>#N/A</v>
      </c>
      <c r="Z21" s="122" t="e">
        <f ca="1">+'3.Tasks'!V13</f>
        <v>#N/A</v>
      </c>
      <c r="AA21" s="122" t="e">
        <f ca="1">+'3.Tasks'!W13</f>
        <v>#N/A</v>
      </c>
      <c r="AB21" s="122" t="e">
        <f ca="1">+'3.Tasks'!X13</f>
        <v>#N/A</v>
      </c>
      <c r="AC21" s="122" t="e">
        <f ca="1">+'3.Tasks'!Y13</f>
        <v>#N/A</v>
      </c>
      <c r="AD21" s="122" t="e">
        <f ca="1">+'3.Tasks'!Z13</f>
        <v>#N/A</v>
      </c>
      <c r="AE21" s="122" t="e">
        <f ca="1">+'3.Tasks'!AA13</f>
        <v>#N/A</v>
      </c>
      <c r="AF21" s="122" t="e">
        <f ca="1">+'3.Tasks'!AB13</f>
        <v>#N/A</v>
      </c>
      <c r="AG21" s="122" t="e">
        <f ca="1">+'3.Tasks'!AC13</f>
        <v>#N/A</v>
      </c>
      <c r="AH21" s="122" t="e">
        <f ca="1">+'3.Tasks'!AD13</f>
        <v>#N/A</v>
      </c>
      <c r="AI21" s="122" t="e">
        <f ca="1">+'3.Tasks'!AE13</f>
        <v>#N/A</v>
      </c>
      <c r="AJ21" s="122" t="e">
        <f ca="1">+'3.Tasks'!AF13</f>
        <v>#N/A</v>
      </c>
      <c r="AK21" s="122" t="e">
        <f ca="1">+'3.Tasks'!AG13</f>
        <v>#N/A</v>
      </c>
      <c r="AL21" s="122" t="e">
        <f ca="1">+'3.Tasks'!AH13</f>
        <v>#N/A</v>
      </c>
      <c r="AM21" s="122" t="e">
        <f ca="1">+'3.Tasks'!AI13</f>
        <v>#N/A</v>
      </c>
      <c r="AN21" s="122" t="e">
        <f ca="1">+'3.Tasks'!AJ13</f>
        <v>#N/A</v>
      </c>
      <c r="AO21" s="122" t="e">
        <f ca="1">+'3.Tasks'!AK13</f>
        <v>#N/A</v>
      </c>
      <c r="AP21" s="122" t="e">
        <f ca="1">+'3.Tasks'!AL13</f>
        <v>#N/A</v>
      </c>
      <c r="AQ21" s="122" t="e">
        <f ca="1">+'3.Tasks'!AM13</f>
        <v>#N/A</v>
      </c>
      <c r="AR21" s="122" t="e">
        <f ca="1">+'3.Tasks'!AN13</f>
        <v>#N/A</v>
      </c>
      <c r="AS21" s="122" t="e">
        <f ca="1">+'3.Tasks'!AO13</f>
        <v>#N/A</v>
      </c>
      <c r="AT21" s="122" t="e">
        <f ca="1">+'3.Tasks'!AP13</f>
        <v>#N/A</v>
      </c>
      <c r="AU21" s="122" t="e">
        <f ca="1">+'3.Tasks'!AQ13</f>
        <v>#N/A</v>
      </c>
      <c r="AV21" s="122" t="e">
        <f ca="1">+'3.Tasks'!AR13</f>
        <v>#N/A</v>
      </c>
      <c r="AW21" s="122" t="e">
        <f ca="1">+'3.Tasks'!AS13</f>
        <v>#N/A</v>
      </c>
      <c r="AX21" s="122" t="e">
        <f ca="1">SUBTOTAL(9,N21:AW21)</f>
        <v>#N/A</v>
      </c>
      <c r="AY21" s="122" t="e">
        <f ca="1">SUM(N21:Y21)</f>
        <v>#N/A</v>
      </c>
      <c r="AZ21" s="122" t="e">
        <f ca="1">SUM(Z21:AK21)</f>
        <v>#N/A</v>
      </c>
      <c r="BA21" s="122" t="e">
        <f ca="1">SUM(AL21:AW21)</f>
        <v>#N/A</v>
      </c>
      <c r="BB21" s="130" t="e">
        <f ca="1">IF(AX21=0,0,$D21/$AX21*AY21)</f>
        <v>#N/A</v>
      </c>
      <c r="BC21" s="130" t="e">
        <f ca="1">IF(AX21=0,0,$D21/$AX21*AZ21)</f>
        <v>#N/A</v>
      </c>
      <c r="BD21" s="130" t="e">
        <f ca="1">IF(AX21=0,0,$D21/$AX21*BA21)</f>
        <v>#N/A</v>
      </c>
      <c r="BE21" s="130" t="e">
        <f ca="1">IF(AX21=0,0,$E21/$AX21*AY21)</f>
        <v>#N/A</v>
      </c>
      <c r="BF21" s="130" t="e">
        <f ca="1">IF(AX21=0,0,$E21/$AX21*AZ21)</f>
        <v>#N/A</v>
      </c>
      <c r="BG21" s="130" t="e">
        <f ca="1">IF(AX21=0,0,$E21/$AX21*BA21)</f>
        <v>#N/A</v>
      </c>
      <c r="BH21" s="130" t="e">
        <f ca="1">IF(AX21=0,0,$F21/$AX21*AY21)</f>
        <v>#N/A</v>
      </c>
      <c r="BI21" s="130" t="e">
        <f ca="1">IF(AX21=0,0,$F21/$AX21*AZ21)</f>
        <v>#N/A</v>
      </c>
      <c r="BJ21" s="130" t="e">
        <f ca="1">IF(AX21=0,0,$F21/$AX21*BA21)</f>
        <v>#N/A</v>
      </c>
      <c r="BK21" s="130" t="e">
        <f ca="1">IF(AX21=0,0,$G21/$AX21*AY21)</f>
        <v>#N/A</v>
      </c>
      <c r="BL21" s="130" t="e">
        <f ca="1">IF(AX21=0,0,$G21/$AX21*AZ21)</f>
        <v>#N/A</v>
      </c>
      <c r="BM21" s="130" t="e">
        <f ca="1">IF(AX21=0,0,$G21/$AX21*BA21)</f>
        <v>#N/A</v>
      </c>
      <c r="BN21" s="130" t="e">
        <f ca="1">IF(AX21=0,0,$H21/$AX21*AY21)</f>
        <v>#N/A</v>
      </c>
      <c r="BO21" s="130" t="e">
        <f ca="1">IF(AX21=0,0,$H21/$AX21*AZ21)</f>
        <v>#N/A</v>
      </c>
      <c r="BP21" s="130" t="e">
        <f ca="1">IF(AX21=0,0,$H21/$AX21*BA21)</f>
        <v>#N/A</v>
      </c>
      <c r="BQ21" s="130" t="e">
        <f ca="1">IF(AX21=0,0,$I21/$AX21*AY21)</f>
        <v>#N/A</v>
      </c>
      <c r="BR21" s="130" t="e">
        <f ca="1">IF(AX21=0,0,$I21/$AX21*AZ21)</f>
        <v>#N/A</v>
      </c>
      <c r="BS21" s="130" t="e">
        <f ca="1">IF(AX21=0,0,$I21/$AX21*BA21)</f>
        <v>#N/A</v>
      </c>
      <c r="BT21" s="130" t="e">
        <f ca="1">IF(AX21=0,0,$J21/$AX21*AY21)</f>
        <v>#N/A</v>
      </c>
      <c r="BU21" s="130" t="e">
        <f ca="1">IF(AX21=0,0,$J21/$AX21*AZ21)</f>
        <v>#N/A</v>
      </c>
      <c r="BV21" s="130" t="e">
        <f ca="1">IF(AX21=0,0,$J21/$AX21*BA21)</f>
        <v>#N/A</v>
      </c>
      <c r="BW21" s="130" t="e">
        <f ca="1">IF(AX21=0,0,$L21/$AX21*AY21)</f>
        <v>#N/A</v>
      </c>
      <c r="BX21" s="130" t="e">
        <f ca="1">IF(AX21=0,0,$L21/$AX21*AZ21)</f>
        <v>#N/A</v>
      </c>
      <c r="BY21" s="130" t="e">
        <f ca="1">IF(AX21=0,0,$L21/$AX21*BA21)</f>
        <v>#N/A</v>
      </c>
    </row>
    <row r="22" spans="1:77" ht="74.95" customHeight="1" thickBot="1">
      <c r="B22" s="364" t="s">
        <v>693</v>
      </c>
      <c r="C22" s="789" t="str">
        <f>IF(C21="NA","NA","")</f>
        <v>NA</v>
      </c>
      <c r="D22" s="789"/>
      <c r="E22" s="789"/>
      <c r="F22" s="789"/>
      <c r="G22" s="789"/>
      <c r="H22" s="789"/>
      <c r="I22" s="789"/>
      <c r="J22" s="789"/>
      <c r="K22" s="789"/>
      <c r="L22" s="789"/>
      <c r="M22" s="789"/>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row>
    <row r="23" spans="1:77" ht="15.75" thickTop="1">
      <c r="A23" t="s">
        <v>28</v>
      </c>
      <c r="B23" s="357" t="s">
        <v>828</v>
      </c>
      <c r="C23" s="358" t="str">
        <f>IF(VLOOKUP(B23,'3.Tasks'!$B$4:$C$23,2,FALSE)=0,"NA",VLOOKUP(B23,'3.Tasks'!$B$4:$C$23,2,FALSE))</f>
        <v>NA</v>
      </c>
      <c r="D23" s="359">
        <f ca="1">HLOOKUP(A23,CAL_BO!$BB$4:$BU$30,27,FALSE)+(HLOOKUP(A23,'4.1'!$AP$4:$BI$10,7,FALSE))</f>
        <v>0</v>
      </c>
      <c r="E23" s="360"/>
      <c r="F23" s="360"/>
      <c r="G23" s="359">
        <f>HLOOKUP(A23,'5.Equipments'!$AJ$2:$BC$23,22,FALSE)</f>
        <v>0</v>
      </c>
      <c r="H23" s="360"/>
      <c r="I23" s="360"/>
      <c r="J23" s="360"/>
      <c r="K23" s="361">
        <f t="shared" ref="K23" ca="1" si="16">SUM(D23:J23)*0.25</f>
        <v>0</v>
      </c>
      <c r="L23" s="362">
        <v>0</v>
      </c>
      <c r="M23" s="363">
        <f t="shared" ref="M23" ca="1" si="17">SUM(D23:L23)</f>
        <v>0</v>
      </c>
      <c r="N23" s="122">
        <f ca="1">+'3.Tasks'!J14</f>
        <v>0</v>
      </c>
      <c r="O23" s="122">
        <f ca="1">+'3.Tasks'!K14</f>
        <v>0</v>
      </c>
      <c r="P23" s="122" t="e">
        <f ca="1">+'3.Tasks'!L14</f>
        <v>#N/A</v>
      </c>
      <c r="Q23" s="122" t="e">
        <f ca="1">+'3.Tasks'!M14</f>
        <v>#N/A</v>
      </c>
      <c r="R23" s="122" t="e">
        <f ca="1">+'3.Tasks'!N14</f>
        <v>#N/A</v>
      </c>
      <c r="S23" s="122" t="e">
        <f ca="1">+'3.Tasks'!O14</f>
        <v>#N/A</v>
      </c>
      <c r="T23" s="122" t="e">
        <f ca="1">+'3.Tasks'!P14</f>
        <v>#N/A</v>
      </c>
      <c r="U23" s="122" t="e">
        <f ca="1">+'3.Tasks'!Q14</f>
        <v>#N/A</v>
      </c>
      <c r="V23" s="122" t="e">
        <f ca="1">+'3.Tasks'!R14</f>
        <v>#N/A</v>
      </c>
      <c r="W23" s="122" t="e">
        <f ca="1">+'3.Tasks'!S14</f>
        <v>#N/A</v>
      </c>
      <c r="X23" s="122" t="e">
        <f ca="1">+'3.Tasks'!T14</f>
        <v>#N/A</v>
      </c>
      <c r="Y23" s="122" t="e">
        <f ca="1">+'3.Tasks'!U14</f>
        <v>#N/A</v>
      </c>
      <c r="Z23" s="122" t="e">
        <f ca="1">+'3.Tasks'!V14</f>
        <v>#N/A</v>
      </c>
      <c r="AA23" s="122" t="e">
        <f ca="1">+'3.Tasks'!W14</f>
        <v>#N/A</v>
      </c>
      <c r="AB23" s="122" t="e">
        <f ca="1">+'3.Tasks'!X14</f>
        <v>#N/A</v>
      </c>
      <c r="AC23" s="122" t="e">
        <f ca="1">+'3.Tasks'!Y14</f>
        <v>#N/A</v>
      </c>
      <c r="AD23" s="122" t="e">
        <f ca="1">+'3.Tasks'!Z14</f>
        <v>#N/A</v>
      </c>
      <c r="AE23" s="122" t="e">
        <f ca="1">+'3.Tasks'!AA14</f>
        <v>#N/A</v>
      </c>
      <c r="AF23" s="122" t="e">
        <f ca="1">+'3.Tasks'!AB14</f>
        <v>#N/A</v>
      </c>
      <c r="AG23" s="122" t="e">
        <f ca="1">+'3.Tasks'!AC14</f>
        <v>#N/A</v>
      </c>
      <c r="AH23" s="122" t="e">
        <f ca="1">+'3.Tasks'!AD14</f>
        <v>#N/A</v>
      </c>
      <c r="AI23" s="122" t="e">
        <f ca="1">+'3.Tasks'!AE14</f>
        <v>#N/A</v>
      </c>
      <c r="AJ23" s="122" t="e">
        <f ca="1">+'3.Tasks'!AF14</f>
        <v>#N/A</v>
      </c>
      <c r="AK23" s="122" t="e">
        <f ca="1">+'3.Tasks'!AG14</f>
        <v>#N/A</v>
      </c>
      <c r="AL23" s="122" t="e">
        <f ca="1">+'3.Tasks'!AH14</f>
        <v>#N/A</v>
      </c>
      <c r="AM23" s="122" t="e">
        <f ca="1">+'3.Tasks'!AI14</f>
        <v>#N/A</v>
      </c>
      <c r="AN23" s="122" t="e">
        <f ca="1">+'3.Tasks'!AJ14</f>
        <v>#N/A</v>
      </c>
      <c r="AO23" s="122" t="e">
        <f ca="1">+'3.Tasks'!AK14</f>
        <v>#N/A</v>
      </c>
      <c r="AP23" s="122" t="e">
        <f ca="1">+'3.Tasks'!AL14</f>
        <v>#N/A</v>
      </c>
      <c r="AQ23" s="122" t="e">
        <f ca="1">+'3.Tasks'!AM14</f>
        <v>#N/A</v>
      </c>
      <c r="AR23" s="122" t="e">
        <f ca="1">+'3.Tasks'!AN14</f>
        <v>#N/A</v>
      </c>
      <c r="AS23" s="122" t="e">
        <f ca="1">+'3.Tasks'!AO14</f>
        <v>#N/A</v>
      </c>
      <c r="AT23" s="122" t="e">
        <f ca="1">+'3.Tasks'!AP14</f>
        <v>#N/A</v>
      </c>
      <c r="AU23" s="122" t="e">
        <f ca="1">+'3.Tasks'!AQ14</f>
        <v>#N/A</v>
      </c>
      <c r="AV23" s="122" t="e">
        <f ca="1">+'3.Tasks'!AR14</f>
        <v>#N/A</v>
      </c>
      <c r="AW23" s="122" t="e">
        <f ca="1">+'3.Tasks'!AS14</f>
        <v>#N/A</v>
      </c>
      <c r="AX23" s="122" t="e">
        <f ca="1">SUBTOTAL(9,N23:AW23)</f>
        <v>#N/A</v>
      </c>
      <c r="AY23" s="122" t="e">
        <f ca="1">SUM(N23:Y23)</f>
        <v>#N/A</v>
      </c>
      <c r="AZ23" s="122" t="e">
        <f ca="1">SUM(Z23:AK23)</f>
        <v>#N/A</v>
      </c>
      <c r="BA23" s="122" t="e">
        <f ca="1">SUM(AL23:AW23)</f>
        <v>#N/A</v>
      </c>
      <c r="BB23" s="130" t="e">
        <f ca="1">IF(AX23=0,0,$D23/$AX23*AY23)</f>
        <v>#N/A</v>
      </c>
      <c r="BC23" s="130" t="e">
        <f ca="1">IF(AX23=0,0,$D23/$AX23*AZ23)</f>
        <v>#N/A</v>
      </c>
      <c r="BD23" s="130" t="e">
        <f ca="1">IF(AX23=0,0,$D23/$AX23*BA23)</f>
        <v>#N/A</v>
      </c>
      <c r="BE23" s="130" t="e">
        <f ca="1">IF(AX23=0,0,$E23/$AX23*AY23)</f>
        <v>#N/A</v>
      </c>
      <c r="BF23" s="130" t="e">
        <f ca="1">IF(AX23=0,0,$E23/$AX23*AZ23)</f>
        <v>#N/A</v>
      </c>
      <c r="BG23" s="130" t="e">
        <f ca="1">IF(AX23=0,0,$E23/$AX23*BA23)</f>
        <v>#N/A</v>
      </c>
      <c r="BH23" s="130" t="e">
        <f ca="1">IF(AX23=0,0,$F23/$AX23*AY23)</f>
        <v>#N/A</v>
      </c>
      <c r="BI23" s="130" t="e">
        <f ca="1">IF(AX23=0,0,$F23/$AX23*AZ23)</f>
        <v>#N/A</v>
      </c>
      <c r="BJ23" s="130" t="e">
        <f ca="1">IF(AX23=0,0,$F23/$AX23*BA23)</f>
        <v>#N/A</v>
      </c>
      <c r="BK23" s="130" t="e">
        <f ca="1">IF(AX23=0,0,$G23/$AX23*AY23)</f>
        <v>#N/A</v>
      </c>
      <c r="BL23" s="130" t="e">
        <f ca="1">IF(AX23=0,0,$G23/$AX23*AZ23)</f>
        <v>#N/A</v>
      </c>
      <c r="BM23" s="130" t="e">
        <f ca="1">IF(AX23=0,0,$G23/$AX23*BA23)</f>
        <v>#N/A</v>
      </c>
      <c r="BN23" s="130" t="e">
        <f ca="1">IF(AX23=0,0,$H23/$AX23*AY23)</f>
        <v>#N/A</v>
      </c>
      <c r="BO23" s="130" t="e">
        <f ca="1">IF(AX23=0,0,$H23/$AX23*AZ23)</f>
        <v>#N/A</v>
      </c>
      <c r="BP23" s="130" t="e">
        <f ca="1">IF(AX23=0,0,$H23/$AX23*BA23)</f>
        <v>#N/A</v>
      </c>
      <c r="BQ23" s="130" t="e">
        <f ca="1">IF(AX23=0,0,$I23/$AX23*AY23)</f>
        <v>#N/A</v>
      </c>
      <c r="BR23" s="130" t="e">
        <f ca="1">IF(AX23=0,0,$I23/$AX23*AZ23)</f>
        <v>#N/A</v>
      </c>
      <c r="BS23" s="130" t="e">
        <f ca="1">IF(AX23=0,0,$I23/$AX23*BA23)</f>
        <v>#N/A</v>
      </c>
      <c r="BT23" s="130" t="e">
        <f ca="1">IF(AX23=0,0,$J23/$AX23*AY23)</f>
        <v>#N/A</v>
      </c>
      <c r="BU23" s="130" t="e">
        <f ca="1">IF(AX23=0,0,$J23/$AX23*AZ23)</f>
        <v>#N/A</v>
      </c>
      <c r="BV23" s="130" t="e">
        <f ca="1">IF(AX23=0,0,$J23/$AX23*BA23)</f>
        <v>#N/A</v>
      </c>
      <c r="BW23" s="130" t="e">
        <f ca="1">IF(AX23=0,0,$L23/$AX23*AY23)</f>
        <v>#N/A</v>
      </c>
      <c r="BX23" s="130" t="e">
        <f ca="1">IF(AX23=0,0,$L23/$AX23*AZ23)</f>
        <v>#N/A</v>
      </c>
      <c r="BY23" s="130" t="e">
        <f ca="1">IF(AX23=0,0,$L23/$AX23*BA23)</f>
        <v>#N/A</v>
      </c>
    </row>
    <row r="24" spans="1:77" ht="74.95" customHeight="1" thickBot="1">
      <c r="B24" s="364" t="s">
        <v>693</v>
      </c>
      <c r="C24" s="789" t="str">
        <f>IF(C23="NA","NA","")</f>
        <v>NA</v>
      </c>
      <c r="D24" s="789"/>
      <c r="E24" s="789"/>
      <c r="F24" s="789"/>
      <c r="G24" s="789"/>
      <c r="H24" s="789"/>
      <c r="I24" s="789"/>
      <c r="J24" s="789"/>
      <c r="K24" s="789"/>
      <c r="L24" s="789"/>
      <c r="M24" s="789"/>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row>
    <row r="25" spans="1:77" ht="15.75" thickTop="1">
      <c r="A25" t="s">
        <v>29</v>
      </c>
      <c r="B25" s="357" t="s">
        <v>829</v>
      </c>
      <c r="C25" s="358" t="str">
        <f>IF(VLOOKUP(B25,'3.Tasks'!$B$4:$C$23,2,FALSE)=0,"NA",VLOOKUP(B25,'3.Tasks'!$B$4:$C$23,2,FALSE))</f>
        <v>NA</v>
      </c>
      <c r="D25" s="359">
        <f ca="1">HLOOKUP(A25,CAL_BO!$BB$4:$BU$30,27,FALSE)+(HLOOKUP(A25,'4.1'!$AP$4:$BI$10,7,FALSE))</f>
        <v>0</v>
      </c>
      <c r="E25" s="360"/>
      <c r="F25" s="360"/>
      <c r="G25" s="359">
        <f>HLOOKUP(A25,'5.Equipments'!$AJ$2:$BC$23,22,FALSE)</f>
        <v>0</v>
      </c>
      <c r="H25" s="360"/>
      <c r="I25" s="360"/>
      <c r="J25" s="360"/>
      <c r="K25" s="361">
        <f t="shared" ref="K25" ca="1" si="18">SUM(D25:J25)*0.25</f>
        <v>0</v>
      </c>
      <c r="L25" s="362">
        <v>0</v>
      </c>
      <c r="M25" s="363">
        <f t="shared" ref="M25" ca="1" si="19">SUM(D25:L25)</f>
        <v>0</v>
      </c>
      <c r="N25" s="122">
        <f ca="1">+'3.Tasks'!J15</f>
        <v>0</v>
      </c>
      <c r="O25" s="122">
        <f ca="1">+'3.Tasks'!K15</f>
        <v>0</v>
      </c>
      <c r="P25" s="122" t="e">
        <f ca="1">+'3.Tasks'!L15</f>
        <v>#N/A</v>
      </c>
      <c r="Q25" s="122" t="e">
        <f ca="1">+'3.Tasks'!M15</f>
        <v>#N/A</v>
      </c>
      <c r="R25" s="122" t="e">
        <f ca="1">+'3.Tasks'!N15</f>
        <v>#N/A</v>
      </c>
      <c r="S25" s="122" t="e">
        <f ca="1">+'3.Tasks'!O15</f>
        <v>#N/A</v>
      </c>
      <c r="T25" s="122" t="e">
        <f ca="1">+'3.Tasks'!P15</f>
        <v>#N/A</v>
      </c>
      <c r="U25" s="122" t="e">
        <f ca="1">+'3.Tasks'!Q15</f>
        <v>#N/A</v>
      </c>
      <c r="V25" s="122" t="e">
        <f ca="1">+'3.Tasks'!R15</f>
        <v>#N/A</v>
      </c>
      <c r="W25" s="122" t="e">
        <f ca="1">+'3.Tasks'!S15</f>
        <v>#N/A</v>
      </c>
      <c r="X25" s="122" t="e">
        <f ca="1">+'3.Tasks'!T15</f>
        <v>#N/A</v>
      </c>
      <c r="Y25" s="122" t="e">
        <f ca="1">+'3.Tasks'!U15</f>
        <v>#N/A</v>
      </c>
      <c r="Z25" s="122" t="e">
        <f ca="1">+'3.Tasks'!V15</f>
        <v>#N/A</v>
      </c>
      <c r="AA25" s="122" t="e">
        <f ca="1">+'3.Tasks'!W15</f>
        <v>#N/A</v>
      </c>
      <c r="AB25" s="122" t="e">
        <f ca="1">+'3.Tasks'!X15</f>
        <v>#N/A</v>
      </c>
      <c r="AC25" s="122" t="e">
        <f ca="1">+'3.Tasks'!Y15</f>
        <v>#N/A</v>
      </c>
      <c r="AD25" s="122" t="e">
        <f ca="1">+'3.Tasks'!Z15</f>
        <v>#N/A</v>
      </c>
      <c r="AE25" s="122" t="e">
        <f ca="1">+'3.Tasks'!AA15</f>
        <v>#N/A</v>
      </c>
      <c r="AF25" s="122" t="e">
        <f ca="1">+'3.Tasks'!AB15</f>
        <v>#N/A</v>
      </c>
      <c r="AG25" s="122" t="e">
        <f ca="1">+'3.Tasks'!AC15</f>
        <v>#N/A</v>
      </c>
      <c r="AH25" s="122" t="e">
        <f ca="1">+'3.Tasks'!AD15</f>
        <v>#N/A</v>
      </c>
      <c r="AI25" s="122" t="e">
        <f ca="1">+'3.Tasks'!AE15</f>
        <v>#N/A</v>
      </c>
      <c r="AJ25" s="122" t="e">
        <f ca="1">+'3.Tasks'!AF15</f>
        <v>#N/A</v>
      </c>
      <c r="AK25" s="122" t="e">
        <f ca="1">+'3.Tasks'!AG15</f>
        <v>#N/A</v>
      </c>
      <c r="AL25" s="122" t="e">
        <f ca="1">+'3.Tasks'!AH15</f>
        <v>#N/A</v>
      </c>
      <c r="AM25" s="122" t="e">
        <f ca="1">+'3.Tasks'!AI15</f>
        <v>#N/A</v>
      </c>
      <c r="AN25" s="122" t="e">
        <f ca="1">+'3.Tasks'!AJ15</f>
        <v>#N/A</v>
      </c>
      <c r="AO25" s="122" t="e">
        <f ca="1">+'3.Tasks'!AK15</f>
        <v>#N/A</v>
      </c>
      <c r="AP25" s="122" t="e">
        <f ca="1">+'3.Tasks'!AL15</f>
        <v>#N/A</v>
      </c>
      <c r="AQ25" s="122" t="e">
        <f ca="1">+'3.Tasks'!AM15</f>
        <v>#N/A</v>
      </c>
      <c r="AR25" s="122" t="e">
        <f ca="1">+'3.Tasks'!AN15</f>
        <v>#N/A</v>
      </c>
      <c r="AS25" s="122" t="e">
        <f ca="1">+'3.Tasks'!AO15</f>
        <v>#N/A</v>
      </c>
      <c r="AT25" s="122" t="e">
        <f ca="1">+'3.Tasks'!AP15</f>
        <v>#N/A</v>
      </c>
      <c r="AU25" s="122" t="e">
        <f ca="1">+'3.Tasks'!AQ15</f>
        <v>#N/A</v>
      </c>
      <c r="AV25" s="122" t="e">
        <f ca="1">+'3.Tasks'!AR15</f>
        <v>#N/A</v>
      </c>
      <c r="AW25" s="122" t="e">
        <f ca="1">+'3.Tasks'!AS15</f>
        <v>#N/A</v>
      </c>
      <c r="AX25" s="122" t="e">
        <f ca="1">SUBTOTAL(9,N25:AW25)</f>
        <v>#N/A</v>
      </c>
      <c r="AY25" s="122" t="e">
        <f ca="1">SUM(N25:Y25)</f>
        <v>#N/A</v>
      </c>
      <c r="AZ25" s="122" t="e">
        <f ca="1">SUM(Z25:AK25)</f>
        <v>#N/A</v>
      </c>
      <c r="BA25" s="122" t="e">
        <f ca="1">SUM(AL25:AW25)</f>
        <v>#N/A</v>
      </c>
      <c r="BB25" s="130" t="e">
        <f ca="1">IF(AX25=0,0,$D25/$AX25*AY25)</f>
        <v>#N/A</v>
      </c>
      <c r="BC25" s="130" t="e">
        <f ca="1">IF(AX25=0,0,$D25/$AX25*AZ25)</f>
        <v>#N/A</v>
      </c>
      <c r="BD25" s="130" t="e">
        <f ca="1">IF(AX25=0,0,$D25/$AX25*BA25)</f>
        <v>#N/A</v>
      </c>
      <c r="BE25" s="130" t="e">
        <f ca="1">IF(AX25=0,0,$E25/$AX25*AY25)</f>
        <v>#N/A</v>
      </c>
      <c r="BF25" s="130" t="e">
        <f ca="1">IF(AX25=0,0,$E25/$AX25*AZ25)</f>
        <v>#N/A</v>
      </c>
      <c r="BG25" s="130" t="e">
        <f ca="1">IF(AX25=0,0,$E25/$AX25*BA25)</f>
        <v>#N/A</v>
      </c>
      <c r="BH25" s="130" t="e">
        <f ca="1">IF(AX25=0,0,$F25/$AX25*AY25)</f>
        <v>#N/A</v>
      </c>
      <c r="BI25" s="130" t="e">
        <f ca="1">IF(AX25=0,0,$F25/$AX25*AZ25)</f>
        <v>#N/A</v>
      </c>
      <c r="BJ25" s="130" t="e">
        <f ca="1">IF(AX25=0,0,$F25/$AX25*BA25)</f>
        <v>#N/A</v>
      </c>
      <c r="BK25" s="130" t="e">
        <f ca="1">IF(AX25=0,0,$G25/$AX25*AY25)</f>
        <v>#N/A</v>
      </c>
      <c r="BL25" s="130" t="e">
        <f ca="1">IF(AX25=0,0,$G25/$AX25*AZ25)</f>
        <v>#N/A</v>
      </c>
      <c r="BM25" s="130" t="e">
        <f ca="1">IF(AX25=0,0,$G25/$AX25*BA25)</f>
        <v>#N/A</v>
      </c>
      <c r="BN25" s="130" t="e">
        <f ca="1">IF(AX25=0,0,$H25/$AX25*AY25)</f>
        <v>#N/A</v>
      </c>
      <c r="BO25" s="130" t="e">
        <f ca="1">IF(AX25=0,0,$H25/$AX25*AZ25)</f>
        <v>#N/A</v>
      </c>
      <c r="BP25" s="130" t="e">
        <f ca="1">IF(AX25=0,0,$H25/$AX25*BA25)</f>
        <v>#N/A</v>
      </c>
      <c r="BQ25" s="130" t="e">
        <f ca="1">IF(AX25=0,0,$I25/$AX25*AY25)</f>
        <v>#N/A</v>
      </c>
      <c r="BR25" s="130" t="e">
        <f ca="1">IF(AX25=0,0,$I25/$AX25*AZ25)</f>
        <v>#N/A</v>
      </c>
      <c r="BS25" s="130" t="e">
        <f ca="1">IF(AX25=0,0,$I25/$AX25*BA25)</f>
        <v>#N/A</v>
      </c>
      <c r="BT25" s="130" t="e">
        <f ca="1">IF(AX25=0,0,$J25/$AX25*AY25)</f>
        <v>#N/A</v>
      </c>
      <c r="BU25" s="130" t="e">
        <f ca="1">IF(AX25=0,0,$J25/$AX25*AZ25)</f>
        <v>#N/A</v>
      </c>
      <c r="BV25" s="130" t="e">
        <f ca="1">IF(AX25=0,0,$J25/$AX25*BA25)</f>
        <v>#N/A</v>
      </c>
      <c r="BW25" s="130" t="e">
        <f ca="1">IF(AX25=0,0,$L25/$AX25*AY25)</f>
        <v>#N/A</v>
      </c>
      <c r="BX25" s="130" t="e">
        <f ca="1">IF(AX25=0,0,$L25/$AX25*AZ25)</f>
        <v>#N/A</v>
      </c>
      <c r="BY25" s="130" t="e">
        <f ca="1">IF(AX25=0,0,$L25/$AX25*BA25)</f>
        <v>#N/A</v>
      </c>
    </row>
    <row r="26" spans="1:77" ht="74.95" customHeight="1" thickBot="1">
      <c r="B26" s="364" t="s">
        <v>693</v>
      </c>
      <c r="C26" s="789" t="str">
        <f>IF(C25="NA","NA","")</f>
        <v>NA</v>
      </c>
      <c r="D26" s="789"/>
      <c r="E26" s="789"/>
      <c r="F26" s="789"/>
      <c r="G26" s="789"/>
      <c r="H26" s="789"/>
      <c r="I26" s="789"/>
      <c r="J26" s="789"/>
      <c r="K26" s="789"/>
      <c r="L26" s="789"/>
      <c r="M26" s="789"/>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row>
    <row r="27" spans="1:77" ht="15.75" thickTop="1">
      <c r="A27" t="s">
        <v>30</v>
      </c>
      <c r="B27" s="357" t="s">
        <v>830</v>
      </c>
      <c r="C27" s="358" t="str">
        <f>IF(VLOOKUP(B27,'3.Tasks'!$B$4:$C$23,2,FALSE)=0,"NA",VLOOKUP(B27,'3.Tasks'!$B$4:$C$23,2,FALSE))</f>
        <v>NA</v>
      </c>
      <c r="D27" s="359">
        <f ca="1">HLOOKUP(A27,CAL_BO!$BB$4:$BU$30,27,FALSE)+(HLOOKUP(A27,'4.1'!$AP$4:$BI$10,7,FALSE))</f>
        <v>0</v>
      </c>
      <c r="E27" s="360"/>
      <c r="F27" s="360"/>
      <c r="G27" s="359">
        <f>HLOOKUP(A27,'5.Equipments'!$AJ$2:$BC$23,22,FALSE)</f>
        <v>0</v>
      </c>
      <c r="H27" s="360"/>
      <c r="I27" s="360"/>
      <c r="J27" s="360"/>
      <c r="K27" s="361">
        <f t="shared" ref="K27" ca="1" si="20">SUM(D27:J27)*0.25</f>
        <v>0</v>
      </c>
      <c r="L27" s="362">
        <v>0</v>
      </c>
      <c r="M27" s="363">
        <f t="shared" ref="M27" ca="1" si="21">SUM(D27:L27)</f>
        <v>0</v>
      </c>
      <c r="N27" s="122">
        <f ca="1">+'3.Tasks'!J16</f>
        <v>0</v>
      </c>
      <c r="O27" s="122">
        <f ca="1">+'3.Tasks'!K16</f>
        <v>0</v>
      </c>
      <c r="P27" s="122" t="e">
        <f ca="1">+'3.Tasks'!L16</f>
        <v>#N/A</v>
      </c>
      <c r="Q27" s="122" t="e">
        <f ca="1">+'3.Tasks'!M16</f>
        <v>#N/A</v>
      </c>
      <c r="R27" s="122" t="e">
        <f ca="1">+'3.Tasks'!N16</f>
        <v>#N/A</v>
      </c>
      <c r="S27" s="122" t="e">
        <f ca="1">+'3.Tasks'!O16</f>
        <v>#N/A</v>
      </c>
      <c r="T27" s="122" t="e">
        <f ca="1">+'3.Tasks'!P16</f>
        <v>#N/A</v>
      </c>
      <c r="U27" s="122" t="e">
        <f ca="1">+'3.Tasks'!Q16</f>
        <v>#N/A</v>
      </c>
      <c r="V27" s="122" t="e">
        <f ca="1">+'3.Tasks'!R16</f>
        <v>#N/A</v>
      </c>
      <c r="W27" s="122" t="e">
        <f ca="1">+'3.Tasks'!S16</f>
        <v>#N/A</v>
      </c>
      <c r="X27" s="122" t="e">
        <f ca="1">+'3.Tasks'!T16</f>
        <v>#N/A</v>
      </c>
      <c r="Y27" s="122" t="e">
        <f ca="1">+'3.Tasks'!U16</f>
        <v>#N/A</v>
      </c>
      <c r="Z27" s="122" t="e">
        <f ca="1">+'3.Tasks'!V16</f>
        <v>#N/A</v>
      </c>
      <c r="AA27" s="122" t="e">
        <f ca="1">+'3.Tasks'!W16</f>
        <v>#N/A</v>
      </c>
      <c r="AB27" s="122" t="e">
        <f ca="1">+'3.Tasks'!X16</f>
        <v>#N/A</v>
      </c>
      <c r="AC27" s="122" t="e">
        <f ca="1">+'3.Tasks'!Y16</f>
        <v>#N/A</v>
      </c>
      <c r="AD27" s="122" t="e">
        <f ca="1">+'3.Tasks'!Z16</f>
        <v>#N/A</v>
      </c>
      <c r="AE27" s="122" t="e">
        <f ca="1">+'3.Tasks'!AA16</f>
        <v>#N/A</v>
      </c>
      <c r="AF27" s="122" t="e">
        <f ca="1">+'3.Tasks'!AB16</f>
        <v>#N/A</v>
      </c>
      <c r="AG27" s="122" t="e">
        <f ca="1">+'3.Tasks'!AC16</f>
        <v>#N/A</v>
      </c>
      <c r="AH27" s="122" t="e">
        <f ca="1">+'3.Tasks'!AD16</f>
        <v>#N/A</v>
      </c>
      <c r="AI27" s="122" t="e">
        <f ca="1">+'3.Tasks'!AE16</f>
        <v>#N/A</v>
      </c>
      <c r="AJ27" s="122" t="e">
        <f ca="1">+'3.Tasks'!AF16</f>
        <v>#N/A</v>
      </c>
      <c r="AK27" s="122" t="e">
        <f ca="1">+'3.Tasks'!AG16</f>
        <v>#N/A</v>
      </c>
      <c r="AL27" s="122" t="e">
        <f ca="1">+'3.Tasks'!AH16</f>
        <v>#N/A</v>
      </c>
      <c r="AM27" s="122" t="e">
        <f ca="1">+'3.Tasks'!AI16</f>
        <v>#N/A</v>
      </c>
      <c r="AN27" s="122" t="e">
        <f ca="1">+'3.Tasks'!AJ16</f>
        <v>#N/A</v>
      </c>
      <c r="AO27" s="122" t="e">
        <f ca="1">+'3.Tasks'!AK16</f>
        <v>#N/A</v>
      </c>
      <c r="AP27" s="122" t="e">
        <f ca="1">+'3.Tasks'!AL16</f>
        <v>#N/A</v>
      </c>
      <c r="AQ27" s="122" t="e">
        <f ca="1">+'3.Tasks'!AM16</f>
        <v>#N/A</v>
      </c>
      <c r="AR27" s="122" t="e">
        <f ca="1">+'3.Tasks'!AN16</f>
        <v>#N/A</v>
      </c>
      <c r="AS27" s="122" t="e">
        <f ca="1">+'3.Tasks'!AO16</f>
        <v>#N/A</v>
      </c>
      <c r="AT27" s="122" t="e">
        <f ca="1">+'3.Tasks'!AP16</f>
        <v>#N/A</v>
      </c>
      <c r="AU27" s="122" t="e">
        <f ca="1">+'3.Tasks'!AQ16</f>
        <v>#N/A</v>
      </c>
      <c r="AV27" s="122" t="e">
        <f ca="1">+'3.Tasks'!AR16</f>
        <v>#N/A</v>
      </c>
      <c r="AW27" s="122" t="e">
        <f ca="1">+'3.Tasks'!AS16</f>
        <v>#N/A</v>
      </c>
      <c r="AX27" s="122" t="e">
        <f ca="1">SUBTOTAL(9,N27:AW27)</f>
        <v>#N/A</v>
      </c>
      <c r="AY27" s="122" t="e">
        <f ca="1">SUM(N27:Y27)</f>
        <v>#N/A</v>
      </c>
      <c r="AZ27" s="122" t="e">
        <f ca="1">SUM(Z27:AK27)</f>
        <v>#N/A</v>
      </c>
      <c r="BA27" s="122" t="e">
        <f ca="1">SUM(AL27:AW27)</f>
        <v>#N/A</v>
      </c>
      <c r="BB27" s="130" t="e">
        <f ca="1">IF(AX27=0,0,$D27/$AX27*AY27)</f>
        <v>#N/A</v>
      </c>
      <c r="BC27" s="130" t="e">
        <f ca="1">IF(AX27=0,0,$D27/$AX27*AZ27)</f>
        <v>#N/A</v>
      </c>
      <c r="BD27" s="130" t="e">
        <f ca="1">IF(AX27=0,0,$D27/$AX27*BA27)</f>
        <v>#N/A</v>
      </c>
      <c r="BE27" s="130" t="e">
        <f ca="1">IF(AX27=0,0,$E27/$AX27*AY27)</f>
        <v>#N/A</v>
      </c>
      <c r="BF27" s="130" t="e">
        <f ca="1">IF(AX27=0,0,$E27/$AX27*AZ27)</f>
        <v>#N/A</v>
      </c>
      <c r="BG27" s="130" t="e">
        <f ca="1">IF(AX27=0,0,$E27/$AX27*BA27)</f>
        <v>#N/A</v>
      </c>
      <c r="BH27" s="130" t="e">
        <f ca="1">IF(AX27=0,0,$F27/$AX27*AY27)</f>
        <v>#N/A</v>
      </c>
      <c r="BI27" s="130" t="e">
        <f ca="1">IF(AX27=0,0,$F27/$AX27*AZ27)</f>
        <v>#N/A</v>
      </c>
      <c r="BJ27" s="130" t="e">
        <f ca="1">IF(AX27=0,0,$F27/$AX27*BA27)</f>
        <v>#N/A</v>
      </c>
      <c r="BK27" s="130" t="e">
        <f ca="1">IF(AX27=0,0,$G27/$AX27*AY27)</f>
        <v>#N/A</v>
      </c>
      <c r="BL27" s="130" t="e">
        <f ca="1">IF(AX27=0,0,$G27/$AX27*AZ27)</f>
        <v>#N/A</v>
      </c>
      <c r="BM27" s="130" t="e">
        <f ca="1">IF(AX27=0,0,$G27/$AX27*BA27)</f>
        <v>#N/A</v>
      </c>
      <c r="BN27" s="130" t="e">
        <f ca="1">IF(AX27=0,0,$H27/$AX27*AY27)</f>
        <v>#N/A</v>
      </c>
      <c r="BO27" s="130" t="e">
        <f ca="1">IF(AX27=0,0,$H27/$AX27*AZ27)</f>
        <v>#N/A</v>
      </c>
      <c r="BP27" s="130" t="e">
        <f ca="1">IF(AX27=0,0,$H27/$AX27*BA27)</f>
        <v>#N/A</v>
      </c>
      <c r="BQ27" s="130" t="e">
        <f ca="1">IF(AX27=0,0,$I27/$AX27*AY27)</f>
        <v>#N/A</v>
      </c>
      <c r="BR27" s="130" t="e">
        <f ca="1">IF(AX27=0,0,$I27/$AX27*AZ27)</f>
        <v>#N/A</v>
      </c>
      <c r="BS27" s="130" t="e">
        <f ca="1">IF(AX27=0,0,$I27/$AX27*BA27)</f>
        <v>#N/A</v>
      </c>
      <c r="BT27" s="130" t="e">
        <f ca="1">IF(AX27=0,0,$J27/$AX27*AY27)</f>
        <v>#N/A</v>
      </c>
      <c r="BU27" s="130" t="e">
        <f ca="1">IF(AX27=0,0,$J27/$AX27*AZ27)</f>
        <v>#N/A</v>
      </c>
      <c r="BV27" s="130" t="e">
        <f ca="1">IF(AX27=0,0,$J27/$AX27*BA27)</f>
        <v>#N/A</v>
      </c>
      <c r="BW27" s="130" t="e">
        <f ca="1">IF(AX27=0,0,$L27/$AX27*AY27)</f>
        <v>#N/A</v>
      </c>
      <c r="BX27" s="130" t="e">
        <f ca="1">IF(AX27=0,0,$L27/$AX27*AZ27)</f>
        <v>#N/A</v>
      </c>
      <c r="BY27" s="130" t="e">
        <f ca="1">IF(AX27=0,0,$L27/$AX27*BA27)</f>
        <v>#N/A</v>
      </c>
    </row>
    <row r="28" spans="1:77" ht="74.95" customHeight="1" thickBot="1">
      <c r="B28" s="364" t="s">
        <v>693</v>
      </c>
      <c r="C28" s="789" t="str">
        <f>IF(C27="NA","NA","")</f>
        <v>NA</v>
      </c>
      <c r="D28" s="789"/>
      <c r="E28" s="789"/>
      <c r="F28" s="789"/>
      <c r="G28" s="789"/>
      <c r="H28" s="789"/>
      <c r="I28" s="789"/>
      <c r="J28" s="789"/>
      <c r="K28" s="789"/>
      <c r="L28" s="789"/>
      <c r="M28" s="789"/>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row>
    <row r="29" spans="1:77" ht="15.75" thickTop="1">
      <c r="A29" t="s">
        <v>31</v>
      </c>
      <c r="B29" s="357" t="s">
        <v>831</v>
      </c>
      <c r="C29" s="358" t="str">
        <f>IF(VLOOKUP(B29,'3.Tasks'!$B$4:$C$23,2,FALSE)=0,"NA",VLOOKUP(B29,'3.Tasks'!$B$4:$C$23,2,FALSE))</f>
        <v>NA</v>
      </c>
      <c r="D29" s="359">
        <f ca="1">HLOOKUP(A29,CAL_BO!$BB$4:$BU$30,27,FALSE)+(HLOOKUP(A29,'4.1'!$AP$4:$BI$10,7,FALSE))</f>
        <v>0</v>
      </c>
      <c r="E29" s="360"/>
      <c r="F29" s="360"/>
      <c r="G29" s="359">
        <f>HLOOKUP(A29,'5.Equipments'!$AJ$2:$BC$23,22,FALSE)</f>
        <v>0</v>
      </c>
      <c r="H29" s="360"/>
      <c r="I29" s="360"/>
      <c r="J29" s="360"/>
      <c r="K29" s="361">
        <f t="shared" ref="K29" ca="1" si="22">SUM(D29:J29)*0.25</f>
        <v>0</v>
      </c>
      <c r="L29" s="362">
        <v>0</v>
      </c>
      <c r="M29" s="363">
        <f t="shared" ref="M29" ca="1" si="23">SUM(D29:L29)</f>
        <v>0</v>
      </c>
      <c r="N29" s="122">
        <f ca="1">+'3.Tasks'!J17</f>
        <v>0</v>
      </c>
      <c r="O29" s="122">
        <f ca="1">+'3.Tasks'!K17</f>
        <v>0</v>
      </c>
      <c r="P29" s="122" t="e">
        <f ca="1">+'3.Tasks'!L17</f>
        <v>#N/A</v>
      </c>
      <c r="Q29" s="122" t="e">
        <f ca="1">+'3.Tasks'!M17</f>
        <v>#N/A</v>
      </c>
      <c r="R29" s="122" t="e">
        <f ca="1">+'3.Tasks'!N17</f>
        <v>#N/A</v>
      </c>
      <c r="S29" s="122" t="e">
        <f ca="1">+'3.Tasks'!O17</f>
        <v>#N/A</v>
      </c>
      <c r="T29" s="122" t="e">
        <f ca="1">+'3.Tasks'!P17</f>
        <v>#N/A</v>
      </c>
      <c r="U29" s="122" t="e">
        <f ca="1">+'3.Tasks'!Q17</f>
        <v>#N/A</v>
      </c>
      <c r="V29" s="122" t="e">
        <f ca="1">+'3.Tasks'!R17</f>
        <v>#N/A</v>
      </c>
      <c r="W29" s="122" t="e">
        <f ca="1">+'3.Tasks'!S17</f>
        <v>#N/A</v>
      </c>
      <c r="X29" s="122" t="e">
        <f ca="1">+'3.Tasks'!T17</f>
        <v>#N/A</v>
      </c>
      <c r="Y29" s="122" t="e">
        <f ca="1">+'3.Tasks'!U17</f>
        <v>#N/A</v>
      </c>
      <c r="Z29" s="122" t="e">
        <f ca="1">+'3.Tasks'!V17</f>
        <v>#N/A</v>
      </c>
      <c r="AA29" s="122" t="e">
        <f ca="1">+'3.Tasks'!W17</f>
        <v>#N/A</v>
      </c>
      <c r="AB29" s="122" t="e">
        <f ca="1">+'3.Tasks'!X17</f>
        <v>#N/A</v>
      </c>
      <c r="AC29" s="122" t="e">
        <f ca="1">+'3.Tasks'!Y17</f>
        <v>#N/A</v>
      </c>
      <c r="AD29" s="122" t="e">
        <f ca="1">+'3.Tasks'!Z17</f>
        <v>#N/A</v>
      </c>
      <c r="AE29" s="122" t="e">
        <f ca="1">+'3.Tasks'!AA17</f>
        <v>#N/A</v>
      </c>
      <c r="AF29" s="122" t="e">
        <f ca="1">+'3.Tasks'!AB17</f>
        <v>#N/A</v>
      </c>
      <c r="AG29" s="122" t="e">
        <f ca="1">+'3.Tasks'!AC17</f>
        <v>#N/A</v>
      </c>
      <c r="AH29" s="122" t="e">
        <f ca="1">+'3.Tasks'!AD17</f>
        <v>#N/A</v>
      </c>
      <c r="AI29" s="122" t="e">
        <f ca="1">+'3.Tasks'!AE17</f>
        <v>#N/A</v>
      </c>
      <c r="AJ29" s="122" t="e">
        <f ca="1">+'3.Tasks'!AF17</f>
        <v>#N/A</v>
      </c>
      <c r="AK29" s="122" t="e">
        <f ca="1">+'3.Tasks'!AG17</f>
        <v>#N/A</v>
      </c>
      <c r="AL29" s="122" t="e">
        <f ca="1">+'3.Tasks'!AH17</f>
        <v>#N/A</v>
      </c>
      <c r="AM29" s="122" t="e">
        <f ca="1">+'3.Tasks'!AI17</f>
        <v>#N/A</v>
      </c>
      <c r="AN29" s="122" t="e">
        <f ca="1">+'3.Tasks'!AJ17</f>
        <v>#N/A</v>
      </c>
      <c r="AO29" s="122" t="e">
        <f ca="1">+'3.Tasks'!AK17</f>
        <v>#N/A</v>
      </c>
      <c r="AP29" s="122" t="e">
        <f ca="1">+'3.Tasks'!AL17</f>
        <v>#N/A</v>
      </c>
      <c r="AQ29" s="122" t="e">
        <f ca="1">+'3.Tasks'!AM17</f>
        <v>#N/A</v>
      </c>
      <c r="AR29" s="122" t="e">
        <f ca="1">+'3.Tasks'!AN17</f>
        <v>#N/A</v>
      </c>
      <c r="AS29" s="122" t="e">
        <f ca="1">+'3.Tasks'!AO17</f>
        <v>#N/A</v>
      </c>
      <c r="AT29" s="122" t="e">
        <f ca="1">+'3.Tasks'!AP17</f>
        <v>#N/A</v>
      </c>
      <c r="AU29" s="122" t="e">
        <f ca="1">+'3.Tasks'!AQ17</f>
        <v>#N/A</v>
      </c>
      <c r="AV29" s="122" t="e">
        <f ca="1">+'3.Tasks'!AR17</f>
        <v>#N/A</v>
      </c>
      <c r="AW29" s="122" t="e">
        <f ca="1">+'3.Tasks'!AS17</f>
        <v>#N/A</v>
      </c>
      <c r="AX29" s="122" t="e">
        <f ca="1">SUBTOTAL(9,N29:AW29)</f>
        <v>#N/A</v>
      </c>
      <c r="AY29" s="122" t="e">
        <f ca="1">SUM(N29:Y29)</f>
        <v>#N/A</v>
      </c>
      <c r="AZ29" s="122" t="e">
        <f ca="1">SUM(Z29:AK29)</f>
        <v>#N/A</v>
      </c>
      <c r="BA29" s="122" t="e">
        <f ca="1">SUM(AL29:AW29)</f>
        <v>#N/A</v>
      </c>
      <c r="BB29" s="130" t="e">
        <f ca="1">IF(AX29=0,0,$D29/$AX29*AY29)</f>
        <v>#N/A</v>
      </c>
      <c r="BC29" s="130" t="e">
        <f ca="1">IF(AX29=0,0,$D29/$AX29*AZ29)</f>
        <v>#N/A</v>
      </c>
      <c r="BD29" s="130" t="e">
        <f ca="1">IF(AX29=0,0,$D29/$AX29*BA29)</f>
        <v>#N/A</v>
      </c>
      <c r="BE29" s="130" t="e">
        <f ca="1">IF(AX29=0,0,$E29/$AX29*AY29)</f>
        <v>#N/A</v>
      </c>
      <c r="BF29" s="130" t="e">
        <f ca="1">IF(AX29=0,0,$E29/$AX29*AZ29)</f>
        <v>#N/A</v>
      </c>
      <c r="BG29" s="130" t="e">
        <f ca="1">IF(AX29=0,0,$E29/$AX29*BA29)</f>
        <v>#N/A</v>
      </c>
      <c r="BH29" s="130" t="e">
        <f ca="1">IF(AX29=0,0,$F29/$AX29*AY29)</f>
        <v>#N/A</v>
      </c>
      <c r="BI29" s="130" t="e">
        <f ca="1">IF(AX29=0,0,$F29/$AX29*AZ29)</f>
        <v>#N/A</v>
      </c>
      <c r="BJ29" s="130" t="e">
        <f ca="1">IF(AX29=0,0,$F29/$AX29*BA29)</f>
        <v>#N/A</v>
      </c>
      <c r="BK29" s="130" t="e">
        <f ca="1">IF(AX29=0,0,$G29/$AX29*AY29)</f>
        <v>#N/A</v>
      </c>
      <c r="BL29" s="130" t="e">
        <f ca="1">IF(AX29=0,0,$G29/$AX29*AZ29)</f>
        <v>#N/A</v>
      </c>
      <c r="BM29" s="130" t="e">
        <f ca="1">IF(AX29=0,0,$G29/$AX29*BA29)</f>
        <v>#N/A</v>
      </c>
      <c r="BN29" s="130" t="e">
        <f ca="1">IF(AX29=0,0,$H29/$AX29*AY29)</f>
        <v>#N/A</v>
      </c>
      <c r="BO29" s="130" t="e">
        <f ca="1">IF(AX29=0,0,$H29/$AX29*AZ29)</f>
        <v>#N/A</v>
      </c>
      <c r="BP29" s="130" t="e">
        <f ca="1">IF(AX29=0,0,$H29/$AX29*BA29)</f>
        <v>#N/A</v>
      </c>
      <c r="BQ29" s="130" t="e">
        <f ca="1">IF(AX29=0,0,$I29/$AX29*AY29)</f>
        <v>#N/A</v>
      </c>
      <c r="BR29" s="130" t="e">
        <f ca="1">IF(AX29=0,0,$I29/$AX29*AZ29)</f>
        <v>#N/A</v>
      </c>
      <c r="BS29" s="130" t="e">
        <f ca="1">IF(AX29=0,0,$I29/$AX29*BA29)</f>
        <v>#N/A</v>
      </c>
      <c r="BT29" s="130" t="e">
        <f ca="1">IF(AX29=0,0,$J29/$AX29*AY29)</f>
        <v>#N/A</v>
      </c>
      <c r="BU29" s="130" t="e">
        <f ca="1">IF(AX29=0,0,$J29/$AX29*AZ29)</f>
        <v>#N/A</v>
      </c>
      <c r="BV29" s="130" t="e">
        <f ca="1">IF(AX29=0,0,$J29/$AX29*BA29)</f>
        <v>#N/A</v>
      </c>
      <c r="BW29" s="130" t="e">
        <f ca="1">IF(AX29=0,0,$L29/$AX29*AY29)</f>
        <v>#N/A</v>
      </c>
      <c r="BX29" s="130" t="e">
        <f ca="1">IF(AX29=0,0,$L29/$AX29*AZ29)</f>
        <v>#N/A</v>
      </c>
      <c r="BY29" s="130" t="e">
        <f ca="1">IF(AX29=0,0,$L29/$AX29*BA29)</f>
        <v>#N/A</v>
      </c>
    </row>
    <row r="30" spans="1:77" ht="74.95" customHeight="1" thickBot="1">
      <c r="B30" s="364" t="s">
        <v>693</v>
      </c>
      <c r="C30" s="789" t="str">
        <f>IF(C29="NA","NA","")</f>
        <v>NA</v>
      </c>
      <c r="D30" s="789"/>
      <c r="E30" s="789"/>
      <c r="F30" s="789"/>
      <c r="G30" s="789"/>
      <c r="H30" s="789"/>
      <c r="I30" s="789"/>
      <c r="J30" s="789"/>
      <c r="K30" s="789"/>
      <c r="L30" s="789"/>
      <c r="M30" s="789"/>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row>
    <row r="31" spans="1:77" ht="15.75" thickTop="1">
      <c r="A31" t="s">
        <v>32</v>
      </c>
      <c r="B31" s="357" t="s">
        <v>832</v>
      </c>
      <c r="C31" s="358" t="str">
        <f>IF(VLOOKUP(B31,'3.Tasks'!$B$4:$C$23,2,FALSE)=0,"NA",VLOOKUP(B31,'3.Tasks'!$B$4:$C$23,2,FALSE))</f>
        <v>NA</v>
      </c>
      <c r="D31" s="359">
        <f ca="1">HLOOKUP(A31,CAL_BO!$BB$4:$BU$30,27,FALSE)+(HLOOKUP(A31,'4.1'!$AP$4:$BI$10,7,FALSE))</f>
        <v>0</v>
      </c>
      <c r="E31" s="360"/>
      <c r="F31" s="360"/>
      <c r="G31" s="359">
        <f>HLOOKUP(A31,'5.Equipments'!$AJ$2:$BC$23,22,FALSE)</f>
        <v>0</v>
      </c>
      <c r="H31" s="360"/>
      <c r="I31" s="360"/>
      <c r="J31" s="360"/>
      <c r="K31" s="361">
        <f t="shared" ref="K31" ca="1" si="24">SUM(D31:J31)*0.25</f>
        <v>0</v>
      </c>
      <c r="L31" s="362">
        <v>0</v>
      </c>
      <c r="M31" s="363">
        <f t="shared" ref="M31" ca="1" si="25">SUM(D31:L31)</f>
        <v>0</v>
      </c>
      <c r="N31" s="122">
        <f ca="1">+'3.Tasks'!J18</f>
        <v>0</v>
      </c>
      <c r="O31" s="122">
        <f ca="1">+'3.Tasks'!K18</f>
        <v>0</v>
      </c>
      <c r="P31" s="122" t="e">
        <f ca="1">+'3.Tasks'!L18</f>
        <v>#N/A</v>
      </c>
      <c r="Q31" s="122" t="e">
        <f ca="1">+'3.Tasks'!M18</f>
        <v>#N/A</v>
      </c>
      <c r="R31" s="122" t="e">
        <f ca="1">+'3.Tasks'!N18</f>
        <v>#N/A</v>
      </c>
      <c r="S31" s="122" t="e">
        <f ca="1">+'3.Tasks'!O18</f>
        <v>#N/A</v>
      </c>
      <c r="T31" s="122" t="e">
        <f ca="1">+'3.Tasks'!P18</f>
        <v>#N/A</v>
      </c>
      <c r="U31" s="122" t="e">
        <f ca="1">+'3.Tasks'!Q18</f>
        <v>#N/A</v>
      </c>
      <c r="V31" s="122" t="e">
        <f ca="1">+'3.Tasks'!R18</f>
        <v>#N/A</v>
      </c>
      <c r="W31" s="122" t="e">
        <f ca="1">+'3.Tasks'!S18</f>
        <v>#N/A</v>
      </c>
      <c r="X31" s="122" t="e">
        <f ca="1">+'3.Tasks'!T18</f>
        <v>#N/A</v>
      </c>
      <c r="Y31" s="122" t="e">
        <f ca="1">+'3.Tasks'!U18</f>
        <v>#N/A</v>
      </c>
      <c r="Z31" s="122" t="e">
        <f ca="1">+'3.Tasks'!V18</f>
        <v>#N/A</v>
      </c>
      <c r="AA31" s="122" t="e">
        <f ca="1">+'3.Tasks'!W18</f>
        <v>#N/A</v>
      </c>
      <c r="AB31" s="122" t="e">
        <f ca="1">+'3.Tasks'!X18</f>
        <v>#N/A</v>
      </c>
      <c r="AC31" s="122" t="e">
        <f ca="1">+'3.Tasks'!Y18</f>
        <v>#N/A</v>
      </c>
      <c r="AD31" s="122" t="e">
        <f ca="1">+'3.Tasks'!Z18</f>
        <v>#N/A</v>
      </c>
      <c r="AE31" s="122" t="e">
        <f ca="1">+'3.Tasks'!AA18</f>
        <v>#N/A</v>
      </c>
      <c r="AF31" s="122" t="e">
        <f ca="1">+'3.Tasks'!AB18</f>
        <v>#N/A</v>
      </c>
      <c r="AG31" s="122" t="e">
        <f ca="1">+'3.Tasks'!AC18</f>
        <v>#N/A</v>
      </c>
      <c r="AH31" s="122" t="e">
        <f ca="1">+'3.Tasks'!AD18</f>
        <v>#N/A</v>
      </c>
      <c r="AI31" s="122" t="e">
        <f ca="1">+'3.Tasks'!AE18</f>
        <v>#N/A</v>
      </c>
      <c r="AJ31" s="122" t="e">
        <f ca="1">+'3.Tasks'!AF18</f>
        <v>#N/A</v>
      </c>
      <c r="AK31" s="122" t="e">
        <f ca="1">+'3.Tasks'!AG18</f>
        <v>#N/A</v>
      </c>
      <c r="AL31" s="122" t="e">
        <f ca="1">+'3.Tasks'!AH18</f>
        <v>#N/A</v>
      </c>
      <c r="AM31" s="122" t="e">
        <f ca="1">+'3.Tasks'!AI18</f>
        <v>#N/A</v>
      </c>
      <c r="AN31" s="122" t="e">
        <f ca="1">+'3.Tasks'!AJ18</f>
        <v>#N/A</v>
      </c>
      <c r="AO31" s="122" t="e">
        <f ca="1">+'3.Tasks'!AK18</f>
        <v>#N/A</v>
      </c>
      <c r="AP31" s="122" t="e">
        <f ca="1">+'3.Tasks'!AL18</f>
        <v>#N/A</v>
      </c>
      <c r="AQ31" s="122" t="e">
        <f ca="1">+'3.Tasks'!AM18</f>
        <v>#N/A</v>
      </c>
      <c r="AR31" s="122" t="e">
        <f ca="1">+'3.Tasks'!AN18</f>
        <v>#N/A</v>
      </c>
      <c r="AS31" s="122" t="e">
        <f ca="1">+'3.Tasks'!AO18</f>
        <v>#N/A</v>
      </c>
      <c r="AT31" s="122" t="e">
        <f ca="1">+'3.Tasks'!AP18</f>
        <v>#N/A</v>
      </c>
      <c r="AU31" s="122" t="e">
        <f ca="1">+'3.Tasks'!AQ18</f>
        <v>#N/A</v>
      </c>
      <c r="AV31" s="122" t="e">
        <f ca="1">+'3.Tasks'!AR18</f>
        <v>#N/A</v>
      </c>
      <c r="AW31" s="122" t="e">
        <f ca="1">+'3.Tasks'!AS18</f>
        <v>#N/A</v>
      </c>
      <c r="AX31" s="122" t="e">
        <f ca="1">SUBTOTAL(9,N31:AW31)</f>
        <v>#N/A</v>
      </c>
      <c r="AY31" s="122" t="e">
        <f ca="1">SUM(N31:Y31)</f>
        <v>#N/A</v>
      </c>
      <c r="AZ31" s="122" t="e">
        <f ca="1">SUM(Z31:AK31)</f>
        <v>#N/A</v>
      </c>
      <c r="BA31" s="122" t="e">
        <f ca="1">SUM(AL31:AW31)</f>
        <v>#N/A</v>
      </c>
      <c r="BB31" s="130" t="e">
        <f ca="1">IF(AX31=0,0,$D31/$AX31*AY31)</f>
        <v>#N/A</v>
      </c>
      <c r="BC31" s="130" t="e">
        <f ca="1">IF(AX31=0,0,$D31/$AX31*AZ31)</f>
        <v>#N/A</v>
      </c>
      <c r="BD31" s="130" t="e">
        <f ca="1">IF(AX31=0,0,$D31/$AX31*BA31)</f>
        <v>#N/A</v>
      </c>
      <c r="BE31" s="130" t="e">
        <f ca="1">IF(AX31=0,0,$E31/$AX31*AY31)</f>
        <v>#N/A</v>
      </c>
      <c r="BF31" s="130" t="e">
        <f ca="1">IF(AX31=0,0,$E31/$AX31*AZ31)</f>
        <v>#N/A</v>
      </c>
      <c r="BG31" s="130" t="e">
        <f ca="1">IF(AX31=0,0,$E31/$AX31*BA31)</f>
        <v>#N/A</v>
      </c>
      <c r="BH31" s="130" t="e">
        <f ca="1">IF(AX31=0,0,$F31/$AX31*AY31)</f>
        <v>#N/A</v>
      </c>
      <c r="BI31" s="130" t="e">
        <f ca="1">IF(AX31=0,0,$F31/$AX31*AZ31)</f>
        <v>#N/A</v>
      </c>
      <c r="BJ31" s="130" t="e">
        <f ca="1">IF(AX31=0,0,$F31/$AX31*BA31)</f>
        <v>#N/A</v>
      </c>
      <c r="BK31" s="130" t="e">
        <f ca="1">IF(AX31=0,0,$G31/$AX31*AY31)</f>
        <v>#N/A</v>
      </c>
      <c r="BL31" s="130" t="e">
        <f ca="1">IF(AX31=0,0,$G31/$AX31*AZ31)</f>
        <v>#N/A</v>
      </c>
      <c r="BM31" s="130" t="e">
        <f ca="1">IF(AX31=0,0,$G31/$AX31*BA31)</f>
        <v>#N/A</v>
      </c>
      <c r="BN31" s="130" t="e">
        <f ca="1">IF(AX31=0,0,$H31/$AX31*AY31)</f>
        <v>#N/A</v>
      </c>
      <c r="BO31" s="130" t="e">
        <f ca="1">IF(AX31=0,0,$H31/$AX31*AZ31)</f>
        <v>#N/A</v>
      </c>
      <c r="BP31" s="130" t="e">
        <f ca="1">IF(AX31=0,0,$H31/$AX31*BA31)</f>
        <v>#N/A</v>
      </c>
      <c r="BQ31" s="130" t="e">
        <f ca="1">IF(AX31=0,0,$I31/$AX31*AY31)</f>
        <v>#N/A</v>
      </c>
      <c r="BR31" s="130" t="e">
        <f ca="1">IF(AX31=0,0,$I31/$AX31*AZ31)</f>
        <v>#N/A</v>
      </c>
      <c r="BS31" s="130" t="e">
        <f ca="1">IF(AX31=0,0,$I31/$AX31*BA31)</f>
        <v>#N/A</v>
      </c>
      <c r="BT31" s="130" t="e">
        <f ca="1">IF(AX31=0,0,$J31/$AX31*AY31)</f>
        <v>#N/A</v>
      </c>
      <c r="BU31" s="130" t="e">
        <f ca="1">IF(AX31=0,0,$J31/$AX31*AZ31)</f>
        <v>#N/A</v>
      </c>
      <c r="BV31" s="130" t="e">
        <f ca="1">IF(AX31=0,0,$J31/$AX31*BA31)</f>
        <v>#N/A</v>
      </c>
      <c r="BW31" s="130" t="e">
        <f ca="1">IF(AX31=0,0,$L31/$AX31*AY31)</f>
        <v>#N/A</v>
      </c>
      <c r="BX31" s="130" t="e">
        <f ca="1">IF(AX31=0,0,$L31/$AX31*AZ31)</f>
        <v>#N/A</v>
      </c>
      <c r="BY31" s="130" t="e">
        <f ca="1">IF(AX31=0,0,$L31/$AX31*BA31)</f>
        <v>#N/A</v>
      </c>
    </row>
    <row r="32" spans="1:77" ht="74.95" customHeight="1" thickBot="1">
      <c r="B32" s="364" t="s">
        <v>693</v>
      </c>
      <c r="C32" s="789" t="str">
        <f>IF(C31="NA","NA","")</f>
        <v>NA</v>
      </c>
      <c r="D32" s="789"/>
      <c r="E32" s="789"/>
      <c r="F32" s="789"/>
      <c r="G32" s="789"/>
      <c r="H32" s="789"/>
      <c r="I32" s="789"/>
      <c r="J32" s="789"/>
      <c r="K32" s="789"/>
      <c r="L32" s="789"/>
      <c r="M32" s="789"/>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row>
    <row r="33" spans="1:78" ht="15.75" thickTop="1">
      <c r="A33" t="s">
        <v>33</v>
      </c>
      <c r="B33" s="357" t="s">
        <v>833</v>
      </c>
      <c r="C33" s="358" t="str">
        <f>IF(VLOOKUP(B33,'3.Tasks'!$B$4:$C$23,2,FALSE)=0,"NA",VLOOKUP(B33,'3.Tasks'!$B$4:$C$23,2,FALSE))</f>
        <v>NA</v>
      </c>
      <c r="D33" s="359">
        <f ca="1">HLOOKUP(A33,CAL_BO!$BB$4:$BU$30,27,FALSE)+(HLOOKUP(A33,'4.1'!$AP$4:$BI$10,7,FALSE))</f>
        <v>0</v>
      </c>
      <c r="E33" s="360"/>
      <c r="F33" s="360"/>
      <c r="G33" s="359">
        <f>HLOOKUP(A33,'5.Equipments'!$AJ$2:$BC$23,22,FALSE)</f>
        <v>0</v>
      </c>
      <c r="H33" s="360"/>
      <c r="I33" s="360"/>
      <c r="J33" s="360"/>
      <c r="K33" s="361">
        <f t="shared" ref="K33" ca="1" si="26">SUM(D33:J33)*0.25</f>
        <v>0</v>
      </c>
      <c r="L33" s="362">
        <v>0</v>
      </c>
      <c r="M33" s="363">
        <f t="shared" ref="M33" ca="1" si="27">SUM(D33:L33)</f>
        <v>0</v>
      </c>
      <c r="N33" s="122">
        <f ca="1">+'3.Tasks'!J19</f>
        <v>0</v>
      </c>
      <c r="O33" s="122">
        <f ca="1">+'3.Tasks'!K19</f>
        <v>0</v>
      </c>
      <c r="P33" s="122" t="e">
        <f ca="1">+'3.Tasks'!L19</f>
        <v>#N/A</v>
      </c>
      <c r="Q33" s="122" t="e">
        <f ca="1">+'3.Tasks'!M19</f>
        <v>#N/A</v>
      </c>
      <c r="R33" s="122" t="e">
        <f ca="1">+'3.Tasks'!N19</f>
        <v>#N/A</v>
      </c>
      <c r="S33" s="122" t="e">
        <f ca="1">+'3.Tasks'!O19</f>
        <v>#N/A</v>
      </c>
      <c r="T33" s="122" t="e">
        <f ca="1">+'3.Tasks'!P19</f>
        <v>#N/A</v>
      </c>
      <c r="U33" s="122" t="e">
        <f ca="1">+'3.Tasks'!Q19</f>
        <v>#N/A</v>
      </c>
      <c r="V33" s="122" t="e">
        <f ca="1">+'3.Tasks'!R19</f>
        <v>#N/A</v>
      </c>
      <c r="W33" s="122" t="e">
        <f ca="1">+'3.Tasks'!S19</f>
        <v>#N/A</v>
      </c>
      <c r="X33" s="122" t="e">
        <f ca="1">+'3.Tasks'!T19</f>
        <v>#N/A</v>
      </c>
      <c r="Y33" s="122" t="e">
        <f ca="1">+'3.Tasks'!U19</f>
        <v>#N/A</v>
      </c>
      <c r="Z33" s="122" t="e">
        <f ca="1">+'3.Tasks'!V19</f>
        <v>#N/A</v>
      </c>
      <c r="AA33" s="122" t="e">
        <f ca="1">+'3.Tasks'!W19</f>
        <v>#N/A</v>
      </c>
      <c r="AB33" s="122" t="e">
        <f ca="1">+'3.Tasks'!X19</f>
        <v>#N/A</v>
      </c>
      <c r="AC33" s="122" t="e">
        <f ca="1">+'3.Tasks'!Y19</f>
        <v>#N/A</v>
      </c>
      <c r="AD33" s="122" t="e">
        <f ca="1">+'3.Tasks'!Z19</f>
        <v>#N/A</v>
      </c>
      <c r="AE33" s="122" t="e">
        <f ca="1">+'3.Tasks'!AA19</f>
        <v>#N/A</v>
      </c>
      <c r="AF33" s="122" t="e">
        <f ca="1">+'3.Tasks'!AB19</f>
        <v>#N/A</v>
      </c>
      <c r="AG33" s="122" t="e">
        <f ca="1">+'3.Tasks'!AC19</f>
        <v>#N/A</v>
      </c>
      <c r="AH33" s="122" t="e">
        <f ca="1">+'3.Tasks'!AD19</f>
        <v>#N/A</v>
      </c>
      <c r="AI33" s="122" t="e">
        <f ca="1">+'3.Tasks'!AE19</f>
        <v>#N/A</v>
      </c>
      <c r="AJ33" s="122" t="e">
        <f ca="1">+'3.Tasks'!AF19</f>
        <v>#N/A</v>
      </c>
      <c r="AK33" s="122" t="e">
        <f ca="1">+'3.Tasks'!AG19</f>
        <v>#N/A</v>
      </c>
      <c r="AL33" s="122" t="e">
        <f ca="1">+'3.Tasks'!AH19</f>
        <v>#N/A</v>
      </c>
      <c r="AM33" s="122" t="e">
        <f ca="1">+'3.Tasks'!AI19</f>
        <v>#N/A</v>
      </c>
      <c r="AN33" s="122" t="e">
        <f ca="1">+'3.Tasks'!AJ19</f>
        <v>#N/A</v>
      </c>
      <c r="AO33" s="122" t="e">
        <f ca="1">+'3.Tasks'!AK19</f>
        <v>#N/A</v>
      </c>
      <c r="AP33" s="122" t="e">
        <f ca="1">+'3.Tasks'!AL19</f>
        <v>#N/A</v>
      </c>
      <c r="AQ33" s="122" t="e">
        <f ca="1">+'3.Tasks'!AM19</f>
        <v>#N/A</v>
      </c>
      <c r="AR33" s="122" t="e">
        <f ca="1">+'3.Tasks'!AN19</f>
        <v>#N/A</v>
      </c>
      <c r="AS33" s="122" t="e">
        <f ca="1">+'3.Tasks'!AO19</f>
        <v>#N/A</v>
      </c>
      <c r="AT33" s="122" t="e">
        <f ca="1">+'3.Tasks'!AP19</f>
        <v>#N/A</v>
      </c>
      <c r="AU33" s="122" t="e">
        <f ca="1">+'3.Tasks'!AQ19</f>
        <v>#N/A</v>
      </c>
      <c r="AV33" s="122" t="e">
        <f ca="1">+'3.Tasks'!AR19</f>
        <v>#N/A</v>
      </c>
      <c r="AW33" s="122" t="e">
        <f ca="1">+'3.Tasks'!AS19</f>
        <v>#N/A</v>
      </c>
      <c r="AX33" s="122" t="e">
        <f ca="1">SUBTOTAL(9,N33:AW33)</f>
        <v>#N/A</v>
      </c>
      <c r="AY33" s="122" t="e">
        <f ca="1">SUM(N33:Y33)</f>
        <v>#N/A</v>
      </c>
      <c r="AZ33" s="122" t="e">
        <f ca="1">SUM(Z33:AK33)</f>
        <v>#N/A</v>
      </c>
      <c r="BA33" s="122" t="e">
        <f ca="1">SUM(AL33:AW33)</f>
        <v>#N/A</v>
      </c>
      <c r="BB33" s="130" t="e">
        <f ca="1">IF(AX33=0,0,$D33/$AX33*AY33)</f>
        <v>#N/A</v>
      </c>
      <c r="BC33" s="130" t="e">
        <f ca="1">IF(AX33=0,0,$D33/$AX33*AZ33)</f>
        <v>#N/A</v>
      </c>
      <c r="BD33" s="130" t="e">
        <f ca="1">IF(AX33=0,0,$D33/$AX33*BA33)</f>
        <v>#N/A</v>
      </c>
      <c r="BE33" s="130" t="e">
        <f ca="1">IF(AX33=0,0,$E33/$AX33*AY33)</f>
        <v>#N/A</v>
      </c>
      <c r="BF33" s="130" t="e">
        <f ca="1">IF(AX33=0,0,$E33/$AX33*AZ33)</f>
        <v>#N/A</v>
      </c>
      <c r="BG33" s="130" t="e">
        <f ca="1">IF(AX33=0,0,$E33/$AX33*BA33)</f>
        <v>#N/A</v>
      </c>
      <c r="BH33" s="130" t="e">
        <f ca="1">IF(AX33=0,0,$F33/$AX33*AY33)</f>
        <v>#N/A</v>
      </c>
      <c r="BI33" s="130" t="e">
        <f ca="1">IF(AX33=0,0,$F33/$AX33*AZ33)</f>
        <v>#N/A</v>
      </c>
      <c r="BJ33" s="130" t="e">
        <f ca="1">IF(AX33=0,0,$F33/$AX33*BA33)</f>
        <v>#N/A</v>
      </c>
      <c r="BK33" s="130" t="e">
        <f ca="1">IF(AX33=0,0,$G33/$AX33*AY33)</f>
        <v>#N/A</v>
      </c>
      <c r="BL33" s="130" t="e">
        <f ca="1">IF(AX33=0,0,$G33/$AX33*AZ33)</f>
        <v>#N/A</v>
      </c>
      <c r="BM33" s="130" t="e">
        <f ca="1">IF(AX33=0,0,$G33/$AX33*BA33)</f>
        <v>#N/A</v>
      </c>
      <c r="BN33" s="130" t="e">
        <f ca="1">IF(AX33=0,0,$H33/$AX33*AY33)</f>
        <v>#N/A</v>
      </c>
      <c r="BO33" s="130" t="e">
        <f ca="1">IF(AX33=0,0,$H33/$AX33*AZ33)</f>
        <v>#N/A</v>
      </c>
      <c r="BP33" s="130" t="e">
        <f ca="1">IF(AX33=0,0,$H33/$AX33*BA33)</f>
        <v>#N/A</v>
      </c>
      <c r="BQ33" s="130" t="e">
        <f ca="1">IF(AX33=0,0,$I33/$AX33*AY33)</f>
        <v>#N/A</v>
      </c>
      <c r="BR33" s="130" t="e">
        <f ca="1">IF(AX33=0,0,$I33/$AX33*AZ33)</f>
        <v>#N/A</v>
      </c>
      <c r="BS33" s="130" t="e">
        <f ca="1">IF(AX33=0,0,$I33/$AX33*BA33)</f>
        <v>#N/A</v>
      </c>
      <c r="BT33" s="130" t="e">
        <f ca="1">IF(AX33=0,0,$J33/$AX33*AY33)</f>
        <v>#N/A</v>
      </c>
      <c r="BU33" s="130" t="e">
        <f ca="1">IF(AX33=0,0,$J33/$AX33*AZ33)</f>
        <v>#N/A</v>
      </c>
      <c r="BV33" s="130" t="e">
        <f ca="1">IF(AX33=0,0,$J33/$AX33*BA33)</f>
        <v>#N/A</v>
      </c>
      <c r="BW33" s="130" t="e">
        <f ca="1">IF(AX33=0,0,$L33/$AX33*AY33)</f>
        <v>#N/A</v>
      </c>
      <c r="BX33" s="130" t="e">
        <f ca="1">IF(AX33=0,0,$L33/$AX33*AZ33)</f>
        <v>#N/A</v>
      </c>
      <c r="BY33" s="130" t="e">
        <f ca="1">IF(AX33=0,0,$L33/$AX33*BA33)</f>
        <v>#N/A</v>
      </c>
    </row>
    <row r="34" spans="1:78" ht="74.95" customHeight="1" thickBot="1">
      <c r="B34" s="364" t="s">
        <v>693</v>
      </c>
      <c r="C34" s="789" t="str">
        <f>IF(C33="NA","NA","")</f>
        <v>NA</v>
      </c>
      <c r="D34" s="789"/>
      <c r="E34" s="789"/>
      <c r="F34" s="789"/>
      <c r="G34" s="789"/>
      <c r="H34" s="789"/>
      <c r="I34" s="789"/>
      <c r="J34" s="789"/>
      <c r="K34" s="789"/>
      <c r="L34" s="789"/>
      <c r="M34" s="789"/>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row>
    <row r="35" spans="1:78" ht="15.75" thickTop="1">
      <c r="A35" t="s">
        <v>34</v>
      </c>
      <c r="B35" s="357" t="s">
        <v>834</v>
      </c>
      <c r="C35" s="358" t="str">
        <f>IF(VLOOKUP(B35,'3.Tasks'!$B$4:$C$23,2,FALSE)=0,"NA",VLOOKUP(B35,'3.Tasks'!$B$4:$C$23,2,FALSE))</f>
        <v>NA</v>
      </c>
      <c r="D35" s="359">
        <f ca="1">HLOOKUP(A35,CAL_BO!$BB$4:$BU$30,27,FALSE)+(HLOOKUP(A35,'4.1'!$AP$4:$BI$10,7,FALSE))</f>
        <v>0</v>
      </c>
      <c r="E35" s="360"/>
      <c r="F35" s="360"/>
      <c r="G35" s="359">
        <f>HLOOKUP(A35,'5.Equipments'!$AJ$2:$BC$23,22,FALSE)</f>
        <v>0</v>
      </c>
      <c r="H35" s="360"/>
      <c r="I35" s="360"/>
      <c r="J35" s="360"/>
      <c r="K35" s="361">
        <f t="shared" ref="K35" ca="1" si="28">SUM(D35:J35)*0.25</f>
        <v>0</v>
      </c>
      <c r="L35" s="362">
        <v>0</v>
      </c>
      <c r="M35" s="363">
        <f t="shared" ref="M35" ca="1" si="29">SUM(D35:L35)</f>
        <v>0</v>
      </c>
      <c r="N35" s="122">
        <f ca="1">+'3.Tasks'!J20</f>
        <v>0</v>
      </c>
      <c r="O35" s="122">
        <f ca="1">+'3.Tasks'!K20</f>
        <v>0</v>
      </c>
      <c r="P35" s="122" t="e">
        <f ca="1">+'3.Tasks'!L20</f>
        <v>#N/A</v>
      </c>
      <c r="Q35" s="122" t="e">
        <f ca="1">+'3.Tasks'!M20</f>
        <v>#N/A</v>
      </c>
      <c r="R35" s="122" t="e">
        <f ca="1">+'3.Tasks'!N20</f>
        <v>#N/A</v>
      </c>
      <c r="S35" s="122" t="e">
        <f ca="1">+'3.Tasks'!O20</f>
        <v>#N/A</v>
      </c>
      <c r="T35" s="122" t="e">
        <f ca="1">+'3.Tasks'!P20</f>
        <v>#N/A</v>
      </c>
      <c r="U35" s="122" t="e">
        <f ca="1">+'3.Tasks'!Q20</f>
        <v>#N/A</v>
      </c>
      <c r="V35" s="122" t="e">
        <f ca="1">+'3.Tasks'!R20</f>
        <v>#N/A</v>
      </c>
      <c r="W35" s="122" t="e">
        <f ca="1">+'3.Tasks'!S20</f>
        <v>#N/A</v>
      </c>
      <c r="X35" s="122" t="e">
        <f ca="1">+'3.Tasks'!T20</f>
        <v>#N/A</v>
      </c>
      <c r="Y35" s="122" t="e">
        <f ca="1">+'3.Tasks'!U20</f>
        <v>#N/A</v>
      </c>
      <c r="Z35" s="122" t="e">
        <f ca="1">+'3.Tasks'!V20</f>
        <v>#N/A</v>
      </c>
      <c r="AA35" s="122" t="e">
        <f ca="1">+'3.Tasks'!W20</f>
        <v>#N/A</v>
      </c>
      <c r="AB35" s="122" t="e">
        <f ca="1">+'3.Tasks'!X20</f>
        <v>#N/A</v>
      </c>
      <c r="AC35" s="122" t="e">
        <f ca="1">+'3.Tasks'!Y20</f>
        <v>#N/A</v>
      </c>
      <c r="AD35" s="122" t="e">
        <f ca="1">+'3.Tasks'!Z20</f>
        <v>#N/A</v>
      </c>
      <c r="AE35" s="122" t="e">
        <f ca="1">+'3.Tasks'!AA20</f>
        <v>#N/A</v>
      </c>
      <c r="AF35" s="122" t="e">
        <f ca="1">+'3.Tasks'!AB20</f>
        <v>#N/A</v>
      </c>
      <c r="AG35" s="122" t="e">
        <f ca="1">+'3.Tasks'!AC20</f>
        <v>#N/A</v>
      </c>
      <c r="AH35" s="122" t="e">
        <f ca="1">+'3.Tasks'!AD20</f>
        <v>#N/A</v>
      </c>
      <c r="AI35" s="122" t="e">
        <f ca="1">+'3.Tasks'!AE20</f>
        <v>#N/A</v>
      </c>
      <c r="AJ35" s="122" t="e">
        <f ca="1">+'3.Tasks'!AF20</f>
        <v>#N/A</v>
      </c>
      <c r="AK35" s="122" t="e">
        <f ca="1">+'3.Tasks'!AG20</f>
        <v>#N/A</v>
      </c>
      <c r="AL35" s="122" t="e">
        <f ca="1">+'3.Tasks'!AH20</f>
        <v>#N/A</v>
      </c>
      <c r="AM35" s="122" t="e">
        <f ca="1">+'3.Tasks'!AI20</f>
        <v>#N/A</v>
      </c>
      <c r="AN35" s="122" t="e">
        <f ca="1">+'3.Tasks'!AJ20</f>
        <v>#N/A</v>
      </c>
      <c r="AO35" s="122" t="e">
        <f ca="1">+'3.Tasks'!AK20</f>
        <v>#N/A</v>
      </c>
      <c r="AP35" s="122" t="e">
        <f ca="1">+'3.Tasks'!AL20</f>
        <v>#N/A</v>
      </c>
      <c r="AQ35" s="122" t="e">
        <f ca="1">+'3.Tasks'!AM20</f>
        <v>#N/A</v>
      </c>
      <c r="AR35" s="122" t="e">
        <f ca="1">+'3.Tasks'!AN20</f>
        <v>#N/A</v>
      </c>
      <c r="AS35" s="122" t="e">
        <f ca="1">+'3.Tasks'!AO20</f>
        <v>#N/A</v>
      </c>
      <c r="AT35" s="122" t="e">
        <f ca="1">+'3.Tasks'!AP20</f>
        <v>#N/A</v>
      </c>
      <c r="AU35" s="122" t="e">
        <f ca="1">+'3.Tasks'!AQ20</f>
        <v>#N/A</v>
      </c>
      <c r="AV35" s="122" t="e">
        <f ca="1">+'3.Tasks'!AR20</f>
        <v>#N/A</v>
      </c>
      <c r="AW35" s="122" t="e">
        <f ca="1">+'3.Tasks'!AS20</f>
        <v>#N/A</v>
      </c>
      <c r="AX35" s="122" t="e">
        <f ca="1">SUBTOTAL(9,N35:AW35)</f>
        <v>#N/A</v>
      </c>
      <c r="AY35" s="122" t="e">
        <f ca="1">SUM(N35:Y35)</f>
        <v>#N/A</v>
      </c>
      <c r="AZ35" s="122" t="e">
        <f ca="1">SUM(Z35:AK35)</f>
        <v>#N/A</v>
      </c>
      <c r="BA35" s="122" t="e">
        <f ca="1">SUM(AL35:AW35)</f>
        <v>#N/A</v>
      </c>
      <c r="BB35" s="130" t="e">
        <f ca="1">IF(AX35=0,0,$D35/$AX35*AY35)</f>
        <v>#N/A</v>
      </c>
      <c r="BC35" s="130" t="e">
        <f ca="1">IF(AX35=0,0,$D35/$AX35*AZ35)</f>
        <v>#N/A</v>
      </c>
      <c r="BD35" s="130" t="e">
        <f ca="1">IF(AX35=0,0,$D35/$AX35*BA35)</f>
        <v>#N/A</v>
      </c>
      <c r="BE35" s="130" t="e">
        <f ca="1">IF(AX35=0,0,$E35/$AX35*AY35)</f>
        <v>#N/A</v>
      </c>
      <c r="BF35" s="130" t="e">
        <f ca="1">IF(AX35=0,0,$E35/$AX35*AZ35)</f>
        <v>#N/A</v>
      </c>
      <c r="BG35" s="130" t="e">
        <f ca="1">IF(AX35=0,0,$E35/$AX35*BA35)</f>
        <v>#N/A</v>
      </c>
      <c r="BH35" s="130" t="e">
        <f ca="1">IF(AX35=0,0,$F35/$AX35*AY35)</f>
        <v>#N/A</v>
      </c>
      <c r="BI35" s="130" t="e">
        <f ca="1">IF(AX35=0,0,$F35/$AX35*AZ35)</f>
        <v>#N/A</v>
      </c>
      <c r="BJ35" s="130" t="e">
        <f ca="1">IF(AX35=0,0,$F35/$AX35*BA35)</f>
        <v>#N/A</v>
      </c>
      <c r="BK35" s="130" t="e">
        <f ca="1">IF(AX35=0,0,$G35/$AX35*AY35)</f>
        <v>#N/A</v>
      </c>
      <c r="BL35" s="130" t="e">
        <f ca="1">IF(AX35=0,0,$G35/$AX35*AZ35)</f>
        <v>#N/A</v>
      </c>
      <c r="BM35" s="130" t="e">
        <f ca="1">IF(AX35=0,0,$G35/$AX35*BA35)</f>
        <v>#N/A</v>
      </c>
      <c r="BN35" s="130" t="e">
        <f ca="1">IF(AX35=0,0,$H35/$AX35*AY35)</f>
        <v>#N/A</v>
      </c>
      <c r="BO35" s="130" t="e">
        <f ca="1">IF(AX35=0,0,$H35/$AX35*AZ35)</f>
        <v>#N/A</v>
      </c>
      <c r="BP35" s="130" t="e">
        <f ca="1">IF(AX35=0,0,$H35/$AX35*BA35)</f>
        <v>#N/A</v>
      </c>
      <c r="BQ35" s="130" t="e">
        <f ca="1">IF(AX35=0,0,$I35/$AX35*AY35)</f>
        <v>#N/A</v>
      </c>
      <c r="BR35" s="130" t="e">
        <f ca="1">IF(AX35=0,0,$I35/$AX35*AZ35)</f>
        <v>#N/A</v>
      </c>
      <c r="BS35" s="130" t="e">
        <f ca="1">IF(AX35=0,0,$I35/$AX35*BA35)</f>
        <v>#N/A</v>
      </c>
      <c r="BT35" s="130" t="e">
        <f ca="1">IF(AX35=0,0,$J35/$AX35*AY35)</f>
        <v>#N/A</v>
      </c>
      <c r="BU35" s="130" t="e">
        <f ca="1">IF(AX35=0,0,$J35/$AX35*AZ35)</f>
        <v>#N/A</v>
      </c>
      <c r="BV35" s="130" t="e">
        <f ca="1">IF(AX35=0,0,$J35/$AX35*BA35)</f>
        <v>#N/A</v>
      </c>
      <c r="BW35" s="130" t="e">
        <f ca="1">IF(AX35=0,0,$L35/$AX35*AY35)</f>
        <v>#N/A</v>
      </c>
      <c r="BX35" s="130" t="e">
        <f ca="1">IF(AX35=0,0,$L35/$AX35*AZ35)</f>
        <v>#N/A</v>
      </c>
      <c r="BY35" s="130" t="e">
        <f ca="1">IF(AX35=0,0,$L35/$AX35*BA35)</f>
        <v>#N/A</v>
      </c>
    </row>
    <row r="36" spans="1:78" ht="74.95" customHeight="1" thickBot="1">
      <c r="B36" s="364" t="s">
        <v>693</v>
      </c>
      <c r="C36" s="789" t="str">
        <f>IF(C35="NA","NA","")</f>
        <v>NA</v>
      </c>
      <c r="D36" s="789"/>
      <c r="E36" s="789"/>
      <c r="F36" s="789"/>
      <c r="G36" s="789"/>
      <c r="H36" s="789"/>
      <c r="I36" s="789"/>
      <c r="J36" s="789"/>
      <c r="K36" s="789"/>
      <c r="L36" s="789"/>
      <c r="M36" s="789"/>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row>
    <row r="37" spans="1:78" ht="15.75" thickTop="1">
      <c r="A37" t="s">
        <v>35</v>
      </c>
      <c r="B37" s="357" t="s">
        <v>835</v>
      </c>
      <c r="C37" s="358" t="str">
        <f>IF(VLOOKUP(B37,'3.Tasks'!$B$4:$C$23,2,FALSE)=0,"NA",VLOOKUP(B37,'3.Tasks'!$B$4:$C$23,2,FALSE))</f>
        <v>NA</v>
      </c>
      <c r="D37" s="359">
        <f ca="1">HLOOKUP(A37,CAL_BO!$BB$4:$BU$30,27,FALSE)+(HLOOKUP(A37,'4.1'!$AP$4:$BI$10,7,FALSE))</f>
        <v>0</v>
      </c>
      <c r="E37" s="360"/>
      <c r="F37" s="360"/>
      <c r="G37" s="359">
        <f>HLOOKUP(A37,'5.Equipments'!$AJ$2:$BC$23,22,FALSE)</f>
        <v>0</v>
      </c>
      <c r="H37" s="360"/>
      <c r="I37" s="360"/>
      <c r="J37" s="360"/>
      <c r="K37" s="361">
        <f t="shared" ref="K37" ca="1" si="30">SUM(D37:J37)*0.25</f>
        <v>0</v>
      </c>
      <c r="L37" s="362">
        <v>0</v>
      </c>
      <c r="M37" s="363">
        <f t="shared" ref="M37" ca="1" si="31">SUM(D37:L37)</f>
        <v>0</v>
      </c>
      <c r="N37" s="122">
        <f ca="1">+'3.Tasks'!J21</f>
        <v>0</v>
      </c>
      <c r="O37" s="122">
        <f ca="1">+'3.Tasks'!K21</f>
        <v>0</v>
      </c>
      <c r="P37" s="122" t="e">
        <f ca="1">+'3.Tasks'!L21</f>
        <v>#N/A</v>
      </c>
      <c r="Q37" s="122" t="e">
        <f ca="1">+'3.Tasks'!M21</f>
        <v>#N/A</v>
      </c>
      <c r="R37" s="122" t="e">
        <f ca="1">+'3.Tasks'!N21</f>
        <v>#N/A</v>
      </c>
      <c r="S37" s="122" t="e">
        <f ca="1">+'3.Tasks'!O21</f>
        <v>#N/A</v>
      </c>
      <c r="T37" s="122" t="e">
        <f ca="1">+'3.Tasks'!P21</f>
        <v>#N/A</v>
      </c>
      <c r="U37" s="122" t="e">
        <f ca="1">+'3.Tasks'!Q21</f>
        <v>#N/A</v>
      </c>
      <c r="V37" s="122" t="e">
        <f ca="1">+'3.Tasks'!R21</f>
        <v>#N/A</v>
      </c>
      <c r="W37" s="122" t="e">
        <f ca="1">+'3.Tasks'!S21</f>
        <v>#N/A</v>
      </c>
      <c r="X37" s="122" t="e">
        <f ca="1">+'3.Tasks'!T21</f>
        <v>#N/A</v>
      </c>
      <c r="Y37" s="122" t="e">
        <f ca="1">+'3.Tasks'!U21</f>
        <v>#N/A</v>
      </c>
      <c r="Z37" s="122" t="e">
        <f ca="1">+'3.Tasks'!V21</f>
        <v>#N/A</v>
      </c>
      <c r="AA37" s="122" t="e">
        <f ca="1">+'3.Tasks'!W21</f>
        <v>#N/A</v>
      </c>
      <c r="AB37" s="122" t="e">
        <f ca="1">+'3.Tasks'!X21</f>
        <v>#N/A</v>
      </c>
      <c r="AC37" s="122" t="e">
        <f ca="1">+'3.Tasks'!Y21</f>
        <v>#N/A</v>
      </c>
      <c r="AD37" s="122" t="e">
        <f ca="1">+'3.Tasks'!Z21</f>
        <v>#N/A</v>
      </c>
      <c r="AE37" s="122" t="e">
        <f ca="1">+'3.Tasks'!AA21</f>
        <v>#N/A</v>
      </c>
      <c r="AF37" s="122" t="e">
        <f ca="1">+'3.Tasks'!AB21</f>
        <v>#N/A</v>
      </c>
      <c r="AG37" s="122" t="e">
        <f ca="1">+'3.Tasks'!AC21</f>
        <v>#N/A</v>
      </c>
      <c r="AH37" s="122" t="e">
        <f ca="1">+'3.Tasks'!AD21</f>
        <v>#N/A</v>
      </c>
      <c r="AI37" s="122" t="e">
        <f ca="1">+'3.Tasks'!AE21</f>
        <v>#N/A</v>
      </c>
      <c r="AJ37" s="122" t="e">
        <f ca="1">+'3.Tasks'!AF21</f>
        <v>#N/A</v>
      </c>
      <c r="AK37" s="122" t="e">
        <f ca="1">+'3.Tasks'!AG21</f>
        <v>#N/A</v>
      </c>
      <c r="AL37" s="122" t="e">
        <f ca="1">+'3.Tasks'!AH21</f>
        <v>#N/A</v>
      </c>
      <c r="AM37" s="122" t="e">
        <f ca="1">+'3.Tasks'!AI21</f>
        <v>#N/A</v>
      </c>
      <c r="AN37" s="122" t="e">
        <f ca="1">+'3.Tasks'!AJ21</f>
        <v>#N/A</v>
      </c>
      <c r="AO37" s="122" t="e">
        <f ca="1">+'3.Tasks'!AK21</f>
        <v>#N/A</v>
      </c>
      <c r="AP37" s="122" t="e">
        <f ca="1">+'3.Tasks'!AL21</f>
        <v>#N/A</v>
      </c>
      <c r="AQ37" s="122" t="e">
        <f ca="1">+'3.Tasks'!AM21</f>
        <v>#N/A</v>
      </c>
      <c r="AR37" s="122" t="e">
        <f ca="1">+'3.Tasks'!AN21</f>
        <v>#N/A</v>
      </c>
      <c r="AS37" s="122" t="e">
        <f ca="1">+'3.Tasks'!AO21</f>
        <v>#N/A</v>
      </c>
      <c r="AT37" s="122" t="e">
        <f ca="1">+'3.Tasks'!AP21</f>
        <v>#N/A</v>
      </c>
      <c r="AU37" s="122" t="e">
        <f ca="1">+'3.Tasks'!AQ21</f>
        <v>#N/A</v>
      </c>
      <c r="AV37" s="122" t="e">
        <f ca="1">+'3.Tasks'!AR21</f>
        <v>#N/A</v>
      </c>
      <c r="AW37" s="122" t="e">
        <f ca="1">+'3.Tasks'!AS21</f>
        <v>#N/A</v>
      </c>
      <c r="AX37" s="122" t="e">
        <f ca="1">SUBTOTAL(9,N37:AW37)</f>
        <v>#N/A</v>
      </c>
      <c r="AY37" s="122" t="e">
        <f ca="1">SUM(N37:Y37)</f>
        <v>#N/A</v>
      </c>
      <c r="AZ37" s="122" t="e">
        <f ca="1">SUM(Z37:AK37)</f>
        <v>#N/A</v>
      </c>
      <c r="BA37" s="122" t="e">
        <f ca="1">SUM(AL37:AW37)</f>
        <v>#N/A</v>
      </c>
      <c r="BB37" s="130" t="e">
        <f ca="1">IF(AX37=0,0,$D37/$AX37*AY37)</f>
        <v>#N/A</v>
      </c>
      <c r="BC37" s="130" t="e">
        <f ca="1">IF(AX37=0,0,$D37/$AX37*AZ37)</f>
        <v>#N/A</v>
      </c>
      <c r="BD37" s="130" t="e">
        <f ca="1">IF(AX37=0,0,$D37/$AX37*BA37)</f>
        <v>#N/A</v>
      </c>
      <c r="BE37" s="130" t="e">
        <f ca="1">IF(AX37=0,0,$E37/$AX37*AY37)</f>
        <v>#N/A</v>
      </c>
      <c r="BF37" s="130" t="e">
        <f ca="1">IF(AX37=0,0,$E37/$AX37*AZ37)</f>
        <v>#N/A</v>
      </c>
      <c r="BG37" s="130" t="e">
        <f ca="1">IF(AX37=0,0,$E37/$AX37*BA37)</f>
        <v>#N/A</v>
      </c>
      <c r="BH37" s="130" t="e">
        <f ca="1">IF(AX37=0,0,$F37/$AX37*AY37)</f>
        <v>#N/A</v>
      </c>
      <c r="BI37" s="130" t="e">
        <f ca="1">IF(AX37=0,0,$F37/$AX37*AZ37)</f>
        <v>#N/A</v>
      </c>
      <c r="BJ37" s="130" t="e">
        <f ca="1">IF(AX37=0,0,$F37/$AX37*BA37)</f>
        <v>#N/A</v>
      </c>
      <c r="BK37" s="130" t="e">
        <f ca="1">IF(AX37=0,0,$G37/$AX37*AY37)</f>
        <v>#N/A</v>
      </c>
      <c r="BL37" s="130" t="e">
        <f ca="1">IF(AX37=0,0,$G37/$AX37*AZ37)</f>
        <v>#N/A</v>
      </c>
      <c r="BM37" s="130" t="e">
        <f ca="1">IF(AX37=0,0,$G37/$AX37*BA37)</f>
        <v>#N/A</v>
      </c>
      <c r="BN37" s="130" t="e">
        <f ca="1">IF(AX37=0,0,$H37/$AX37*AY37)</f>
        <v>#N/A</v>
      </c>
      <c r="BO37" s="130" t="e">
        <f ca="1">IF(AX37=0,0,$H37/$AX37*AZ37)</f>
        <v>#N/A</v>
      </c>
      <c r="BP37" s="130" t="e">
        <f ca="1">IF(AX37=0,0,$H37/$AX37*BA37)</f>
        <v>#N/A</v>
      </c>
      <c r="BQ37" s="130" t="e">
        <f ca="1">IF(AX37=0,0,$I37/$AX37*AY37)</f>
        <v>#N/A</v>
      </c>
      <c r="BR37" s="130" t="e">
        <f ca="1">IF(AX37=0,0,$I37/$AX37*AZ37)</f>
        <v>#N/A</v>
      </c>
      <c r="BS37" s="130" t="e">
        <f ca="1">IF(AX37=0,0,$I37/$AX37*BA37)</f>
        <v>#N/A</v>
      </c>
      <c r="BT37" s="130" t="e">
        <f ca="1">IF(AX37=0,0,$J37/$AX37*AY37)</f>
        <v>#N/A</v>
      </c>
      <c r="BU37" s="130" t="e">
        <f ca="1">IF(AX37=0,0,$J37/$AX37*AZ37)</f>
        <v>#N/A</v>
      </c>
      <c r="BV37" s="130" t="e">
        <f ca="1">IF(AX37=0,0,$J37/$AX37*BA37)</f>
        <v>#N/A</v>
      </c>
      <c r="BW37" s="130" t="e">
        <f ca="1">IF(AX37=0,0,$L37/$AX37*AY37)</f>
        <v>#N/A</v>
      </c>
      <c r="BX37" s="130" t="e">
        <f ca="1">IF(AX37=0,0,$L37/$AX37*AZ37)</f>
        <v>#N/A</v>
      </c>
      <c r="BY37" s="130" t="e">
        <f ca="1">IF(AX37=0,0,$L37/$AX37*BA37)</f>
        <v>#N/A</v>
      </c>
    </row>
    <row r="38" spans="1:78" ht="74.95" customHeight="1" thickBot="1">
      <c r="B38" s="364" t="s">
        <v>693</v>
      </c>
      <c r="C38" s="789" t="str">
        <f>IF(C37="NA","NA","")</f>
        <v>NA</v>
      </c>
      <c r="D38" s="789"/>
      <c r="E38" s="789"/>
      <c r="F38" s="789"/>
      <c r="G38" s="789"/>
      <c r="H38" s="789"/>
      <c r="I38" s="789"/>
      <c r="J38" s="789"/>
      <c r="K38" s="789"/>
      <c r="L38" s="789"/>
      <c r="M38" s="789"/>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row>
    <row r="39" spans="1:78" ht="15.75" thickTop="1">
      <c r="A39" t="s">
        <v>36</v>
      </c>
      <c r="B39" s="357" t="s">
        <v>836</v>
      </c>
      <c r="C39" s="358" t="str">
        <f>IF(VLOOKUP(B39,'3.Tasks'!$B$4:$C$23,2,FALSE)=0,"NA",VLOOKUP(B39,'3.Tasks'!$B$4:$C$23,2,FALSE))</f>
        <v>NA</v>
      </c>
      <c r="D39" s="359">
        <f ca="1">HLOOKUP(A39,CAL_BO!$BB$4:$BU$30,27,FALSE)+(HLOOKUP(A39,'4.1'!$AP$4:$BI$10,7,FALSE))</f>
        <v>0</v>
      </c>
      <c r="E39" s="360"/>
      <c r="F39" s="360"/>
      <c r="G39" s="359">
        <f>HLOOKUP(A39,'5.Equipments'!$AJ$2:$BC$23,22,FALSE)</f>
        <v>0</v>
      </c>
      <c r="H39" s="360"/>
      <c r="I39" s="360"/>
      <c r="J39" s="360"/>
      <c r="K39" s="361">
        <f t="shared" ref="K39" ca="1" si="32">SUM(D39:J39)*0.25</f>
        <v>0</v>
      </c>
      <c r="L39" s="362">
        <v>0</v>
      </c>
      <c r="M39" s="363">
        <f t="shared" ref="M39" ca="1" si="33">SUM(D39:L39)</f>
        <v>0</v>
      </c>
      <c r="N39" s="122">
        <f ca="1">+'3.Tasks'!J22</f>
        <v>0</v>
      </c>
      <c r="O39" s="122">
        <f ca="1">+'3.Tasks'!K22</f>
        <v>0</v>
      </c>
      <c r="P39" s="122" t="e">
        <f ca="1">+'3.Tasks'!L22</f>
        <v>#N/A</v>
      </c>
      <c r="Q39" s="122" t="e">
        <f ca="1">+'3.Tasks'!M22</f>
        <v>#N/A</v>
      </c>
      <c r="R39" s="122" t="e">
        <f ca="1">+'3.Tasks'!N22</f>
        <v>#N/A</v>
      </c>
      <c r="S39" s="122" t="e">
        <f ca="1">+'3.Tasks'!O22</f>
        <v>#N/A</v>
      </c>
      <c r="T39" s="122" t="e">
        <f ca="1">+'3.Tasks'!P22</f>
        <v>#N/A</v>
      </c>
      <c r="U39" s="122" t="e">
        <f ca="1">+'3.Tasks'!Q22</f>
        <v>#N/A</v>
      </c>
      <c r="V39" s="122" t="e">
        <f ca="1">+'3.Tasks'!R22</f>
        <v>#N/A</v>
      </c>
      <c r="W39" s="122" t="e">
        <f ca="1">+'3.Tasks'!S22</f>
        <v>#N/A</v>
      </c>
      <c r="X39" s="122" t="e">
        <f ca="1">+'3.Tasks'!T22</f>
        <v>#N/A</v>
      </c>
      <c r="Y39" s="122" t="e">
        <f ca="1">+'3.Tasks'!U22</f>
        <v>#N/A</v>
      </c>
      <c r="Z39" s="122" t="e">
        <f ca="1">+'3.Tasks'!V22</f>
        <v>#N/A</v>
      </c>
      <c r="AA39" s="122" t="e">
        <f ca="1">+'3.Tasks'!W22</f>
        <v>#N/A</v>
      </c>
      <c r="AB39" s="122" t="e">
        <f ca="1">+'3.Tasks'!X22</f>
        <v>#N/A</v>
      </c>
      <c r="AC39" s="122" t="e">
        <f ca="1">+'3.Tasks'!Y22</f>
        <v>#N/A</v>
      </c>
      <c r="AD39" s="122" t="e">
        <f ca="1">+'3.Tasks'!Z22</f>
        <v>#N/A</v>
      </c>
      <c r="AE39" s="122" t="e">
        <f ca="1">+'3.Tasks'!AA22</f>
        <v>#N/A</v>
      </c>
      <c r="AF39" s="122" t="e">
        <f ca="1">+'3.Tasks'!AB22</f>
        <v>#N/A</v>
      </c>
      <c r="AG39" s="122" t="e">
        <f ca="1">+'3.Tasks'!AC22</f>
        <v>#N/A</v>
      </c>
      <c r="AH39" s="122" t="e">
        <f ca="1">+'3.Tasks'!AD22</f>
        <v>#N/A</v>
      </c>
      <c r="AI39" s="122" t="e">
        <f ca="1">+'3.Tasks'!AE22</f>
        <v>#N/A</v>
      </c>
      <c r="AJ39" s="122" t="e">
        <f ca="1">+'3.Tasks'!AF22</f>
        <v>#N/A</v>
      </c>
      <c r="AK39" s="122" t="e">
        <f ca="1">+'3.Tasks'!AG22</f>
        <v>#N/A</v>
      </c>
      <c r="AL39" s="122" t="e">
        <f ca="1">+'3.Tasks'!AH22</f>
        <v>#N/A</v>
      </c>
      <c r="AM39" s="122" t="e">
        <f ca="1">+'3.Tasks'!AI22</f>
        <v>#N/A</v>
      </c>
      <c r="AN39" s="122" t="e">
        <f ca="1">+'3.Tasks'!AJ22</f>
        <v>#N/A</v>
      </c>
      <c r="AO39" s="122" t="e">
        <f ca="1">+'3.Tasks'!AK22</f>
        <v>#N/A</v>
      </c>
      <c r="AP39" s="122" t="e">
        <f ca="1">+'3.Tasks'!AL22</f>
        <v>#N/A</v>
      </c>
      <c r="AQ39" s="122" t="e">
        <f ca="1">+'3.Tasks'!AM22</f>
        <v>#N/A</v>
      </c>
      <c r="AR39" s="122" t="e">
        <f ca="1">+'3.Tasks'!AN22</f>
        <v>#N/A</v>
      </c>
      <c r="AS39" s="122" t="e">
        <f ca="1">+'3.Tasks'!AO22</f>
        <v>#N/A</v>
      </c>
      <c r="AT39" s="122" t="e">
        <f ca="1">+'3.Tasks'!AP22</f>
        <v>#N/A</v>
      </c>
      <c r="AU39" s="122" t="e">
        <f ca="1">+'3.Tasks'!AQ22</f>
        <v>#N/A</v>
      </c>
      <c r="AV39" s="122" t="e">
        <f ca="1">+'3.Tasks'!AR22</f>
        <v>#N/A</v>
      </c>
      <c r="AW39" s="122" t="e">
        <f ca="1">+'3.Tasks'!AS22</f>
        <v>#N/A</v>
      </c>
      <c r="AX39" s="122" t="e">
        <f ca="1">SUBTOTAL(9,N39:AW39)</f>
        <v>#N/A</v>
      </c>
      <c r="AY39" s="122" t="e">
        <f ca="1">SUM(N39:Y39)</f>
        <v>#N/A</v>
      </c>
      <c r="AZ39" s="122" t="e">
        <f ca="1">SUM(Z39:AK39)</f>
        <v>#N/A</v>
      </c>
      <c r="BA39" s="122" t="e">
        <f ca="1">SUM(AL39:AW39)</f>
        <v>#N/A</v>
      </c>
      <c r="BB39" s="130" t="e">
        <f ca="1">IF(AX39=0,0,$D39/$AX39*AY39)</f>
        <v>#N/A</v>
      </c>
      <c r="BC39" s="130" t="e">
        <f ca="1">IF(AX39=0,0,$D39/$AX39*AZ39)</f>
        <v>#N/A</v>
      </c>
      <c r="BD39" s="130" t="e">
        <f ca="1">IF(AX39=0,0,$D39/$AX39*BA39)</f>
        <v>#N/A</v>
      </c>
      <c r="BE39" s="130" t="e">
        <f ca="1">IF(AX39=0,0,$E39/$AX39*AY39)</f>
        <v>#N/A</v>
      </c>
      <c r="BF39" s="130" t="e">
        <f ca="1">IF(AX39=0,0,$E39/$AX39*AZ39)</f>
        <v>#N/A</v>
      </c>
      <c r="BG39" s="130" t="e">
        <f ca="1">IF(AX39=0,0,$E39/$AX39*BA39)</f>
        <v>#N/A</v>
      </c>
      <c r="BH39" s="130" t="e">
        <f ca="1">IF(AX39=0,0,$F39/$AX39*AY39)</f>
        <v>#N/A</v>
      </c>
      <c r="BI39" s="130" t="e">
        <f ca="1">IF(AX39=0,0,$F39/$AX39*AZ39)</f>
        <v>#N/A</v>
      </c>
      <c r="BJ39" s="130" t="e">
        <f ca="1">IF(AX39=0,0,$F39/$AX39*BA39)</f>
        <v>#N/A</v>
      </c>
      <c r="BK39" s="130" t="e">
        <f ca="1">IF(AX39=0,0,$G39/$AX39*AY39)</f>
        <v>#N/A</v>
      </c>
      <c r="BL39" s="130" t="e">
        <f ca="1">IF(AX39=0,0,$G39/$AX39*AZ39)</f>
        <v>#N/A</v>
      </c>
      <c r="BM39" s="130" t="e">
        <f ca="1">IF(AX39=0,0,$G39/$AX39*BA39)</f>
        <v>#N/A</v>
      </c>
      <c r="BN39" s="130" t="e">
        <f ca="1">IF(AX39=0,0,$H39/$AX39*AY39)</f>
        <v>#N/A</v>
      </c>
      <c r="BO39" s="130" t="e">
        <f ca="1">IF(AX39=0,0,$H39/$AX39*AZ39)</f>
        <v>#N/A</v>
      </c>
      <c r="BP39" s="130" t="e">
        <f ca="1">IF(AX39=0,0,$H39/$AX39*BA39)</f>
        <v>#N/A</v>
      </c>
      <c r="BQ39" s="130" t="e">
        <f ca="1">IF(AX39=0,0,$I39/$AX39*AY39)</f>
        <v>#N/A</v>
      </c>
      <c r="BR39" s="130" t="e">
        <f ca="1">IF(AX39=0,0,$I39/$AX39*AZ39)</f>
        <v>#N/A</v>
      </c>
      <c r="BS39" s="130" t="e">
        <f ca="1">IF(AX39=0,0,$I39/$AX39*BA39)</f>
        <v>#N/A</v>
      </c>
      <c r="BT39" s="130" t="e">
        <f ca="1">IF(AX39=0,0,$J39/$AX39*AY39)</f>
        <v>#N/A</v>
      </c>
      <c r="BU39" s="130" t="e">
        <f ca="1">IF(AX39=0,0,$J39/$AX39*AZ39)</f>
        <v>#N/A</v>
      </c>
      <c r="BV39" s="130" t="e">
        <f ca="1">IF(AX39=0,0,$J39/$AX39*BA39)</f>
        <v>#N/A</v>
      </c>
      <c r="BW39" s="130" t="e">
        <f ca="1">IF(AX39=0,0,$L39/$AX39*AY39)</f>
        <v>#N/A</v>
      </c>
      <c r="BX39" s="130" t="e">
        <f ca="1">IF(AX39=0,0,$L39/$AX39*AZ39)</f>
        <v>#N/A</v>
      </c>
      <c r="BY39" s="130" t="e">
        <f ca="1">IF(AX39=0,0,$L39/$AX39*BA39)</f>
        <v>#N/A</v>
      </c>
    </row>
    <row r="40" spans="1:78" ht="74.95" customHeight="1" thickBot="1">
      <c r="B40" s="364" t="s">
        <v>693</v>
      </c>
      <c r="C40" s="789" t="str">
        <f>IF(C39="NA","NA","")</f>
        <v>NA</v>
      </c>
      <c r="D40" s="789"/>
      <c r="E40" s="789"/>
      <c r="F40" s="789"/>
      <c r="G40" s="789"/>
      <c r="H40" s="789"/>
      <c r="I40" s="789"/>
      <c r="J40" s="789"/>
      <c r="K40" s="789"/>
      <c r="L40" s="789"/>
      <c r="M40" s="789"/>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row>
    <row r="41" spans="1:78" ht="15.75" thickTop="1">
      <c r="A41" t="s">
        <v>37</v>
      </c>
      <c r="B41" s="357" t="s">
        <v>837</v>
      </c>
      <c r="C41" s="358" t="str">
        <f>IF(VLOOKUP(B41,'3.Tasks'!$B$4:$C$23,2,FALSE)=0,"NA",VLOOKUP(B41,'3.Tasks'!$B$4:$C$23,2,FALSE))</f>
        <v>NA</v>
      </c>
      <c r="D41" s="359">
        <f ca="1">HLOOKUP(A41,CAL_BO!$BB$4:$BU$30,27,FALSE)+(HLOOKUP(A41,'4.1'!$AP$4:$BI$10,7,FALSE))</f>
        <v>0</v>
      </c>
      <c r="E41" s="360"/>
      <c r="F41" s="360"/>
      <c r="G41" s="359">
        <f>HLOOKUP(A41,'5.Equipments'!$AJ$2:$BC$23,22,FALSE)</f>
        <v>0</v>
      </c>
      <c r="H41" s="360"/>
      <c r="I41" s="360"/>
      <c r="J41" s="360"/>
      <c r="K41" s="361">
        <f ca="1">SUM(D41:J41)*0.25</f>
        <v>0</v>
      </c>
      <c r="L41" s="362">
        <v>0</v>
      </c>
      <c r="M41" s="363">
        <f ca="1">SUM(D41:L41)</f>
        <v>0</v>
      </c>
      <c r="N41" s="122">
        <f ca="1">+'3.Tasks'!J23</f>
        <v>0</v>
      </c>
      <c r="O41" s="122">
        <f ca="1">+'3.Tasks'!K23</f>
        <v>0</v>
      </c>
      <c r="P41" s="122" t="e">
        <f ca="1">+'3.Tasks'!L23</f>
        <v>#N/A</v>
      </c>
      <c r="Q41" s="122" t="e">
        <f ca="1">+'3.Tasks'!M23</f>
        <v>#N/A</v>
      </c>
      <c r="R41" s="122" t="e">
        <f ca="1">+'3.Tasks'!N23</f>
        <v>#N/A</v>
      </c>
      <c r="S41" s="122" t="e">
        <f ca="1">+'3.Tasks'!O23</f>
        <v>#N/A</v>
      </c>
      <c r="T41" s="122" t="e">
        <f ca="1">+'3.Tasks'!P23</f>
        <v>#N/A</v>
      </c>
      <c r="U41" s="122" t="e">
        <f ca="1">+'3.Tasks'!Q23</f>
        <v>#N/A</v>
      </c>
      <c r="V41" s="122" t="e">
        <f ca="1">+'3.Tasks'!R23</f>
        <v>#N/A</v>
      </c>
      <c r="W41" s="122" t="e">
        <f ca="1">+'3.Tasks'!S23</f>
        <v>#N/A</v>
      </c>
      <c r="X41" s="122" t="e">
        <f ca="1">+'3.Tasks'!T23</f>
        <v>#N/A</v>
      </c>
      <c r="Y41" s="122" t="e">
        <f ca="1">+'3.Tasks'!U23</f>
        <v>#N/A</v>
      </c>
      <c r="Z41" s="122" t="e">
        <f ca="1">+'3.Tasks'!V23</f>
        <v>#N/A</v>
      </c>
      <c r="AA41" s="122" t="e">
        <f ca="1">+'3.Tasks'!W23</f>
        <v>#N/A</v>
      </c>
      <c r="AB41" s="122" t="e">
        <f ca="1">+'3.Tasks'!X23</f>
        <v>#N/A</v>
      </c>
      <c r="AC41" s="122" t="e">
        <f ca="1">+'3.Tasks'!Y23</f>
        <v>#N/A</v>
      </c>
      <c r="AD41" s="122" t="e">
        <f ca="1">+'3.Tasks'!Z23</f>
        <v>#N/A</v>
      </c>
      <c r="AE41" s="122" t="e">
        <f ca="1">+'3.Tasks'!AA23</f>
        <v>#N/A</v>
      </c>
      <c r="AF41" s="122" t="e">
        <f ca="1">+'3.Tasks'!AB23</f>
        <v>#N/A</v>
      </c>
      <c r="AG41" s="122" t="e">
        <f ca="1">+'3.Tasks'!AC23</f>
        <v>#N/A</v>
      </c>
      <c r="AH41" s="122" t="e">
        <f ca="1">+'3.Tasks'!AD23</f>
        <v>#N/A</v>
      </c>
      <c r="AI41" s="122" t="e">
        <f ca="1">+'3.Tasks'!AE23</f>
        <v>#N/A</v>
      </c>
      <c r="AJ41" s="122" t="e">
        <f ca="1">+'3.Tasks'!AF23</f>
        <v>#N/A</v>
      </c>
      <c r="AK41" s="122" t="e">
        <f ca="1">+'3.Tasks'!AG23</f>
        <v>#N/A</v>
      </c>
      <c r="AL41" s="122" t="e">
        <f ca="1">+'3.Tasks'!AH23</f>
        <v>#N/A</v>
      </c>
      <c r="AM41" s="122" t="e">
        <f ca="1">+'3.Tasks'!AI23</f>
        <v>#N/A</v>
      </c>
      <c r="AN41" s="122" t="e">
        <f ca="1">+'3.Tasks'!AJ23</f>
        <v>#N/A</v>
      </c>
      <c r="AO41" s="122" t="e">
        <f ca="1">+'3.Tasks'!AK23</f>
        <v>#N/A</v>
      </c>
      <c r="AP41" s="122" t="e">
        <f ca="1">+'3.Tasks'!AL23</f>
        <v>#N/A</v>
      </c>
      <c r="AQ41" s="122" t="e">
        <f ca="1">+'3.Tasks'!AM23</f>
        <v>#N/A</v>
      </c>
      <c r="AR41" s="122" t="e">
        <f ca="1">+'3.Tasks'!AN23</f>
        <v>#N/A</v>
      </c>
      <c r="AS41" s="122" t="e">
        <f ca="1">+'3.Tasks'!AO23</f>
        <v>#N/A</v>
      </c>
      <c r="AT41" s="122" t="e">
        <f ca="1">+'3.Tasks'!AP23</f>
        <v>#N/A</v>
      </c>
      <c r="AU41" s="122" t="e">
        <f ca="1">+'3.Tasks'!AQ23</f>
        <v>#N/A</v>
      </c>
      <c r="AV41" s="122" t="e">
        <f ca="1">+'3.Tasks'!AR23</f>
        <v>#N/A</v>
      </c>
      <c r="AW41" s="122" t="e">
        <f ca="1">+'3.Tasks'!AS23</f>
        <v>#N/A</v>
      </c>
      <c r="AX41" s="122" t="e">
        <f ca="1">SUBTOTAL(9,N41:AW41)</f>
        <v>#N/A</v>
      </c>
      <c r="AY41" s="122" t="e">
        <f ca="1">SUM(N41:Y41)</f>
        <v>#N/A</v>
      </c>
      <c r="AZ41" s="122" t="e">
        <f ca="1">SUM(Z41:AK41)</f>
        <v>#N/A</v>
      </c>
      <c r="BA41" s="122" t="e">
        <f ca="1">SUM(AL41:AW41)</f>
        <v>#N/A</v>
      </c>
      <c r="BB41" s="130" t="e">
        <f ca="1">IF(AX41=0,0,$D41/$AX41*AY41)</f>
        <v>#N/A</v>
      </c>
      <c r="BC41" s="130" t="e">
        <f ca="1">IF(AX41=0,0,$D41/$AX41*AZ41)</f>
        <v>#N/A</v>
      </c>
      <c r="BD41" s="130" t="e">
        <f ca="1">IF(AX41=0,0,$D41/$AX41*BA41)</f>
        <v>#N/A</v>
      </c>
      <c r="BE41" s="130" t="e">
        <f ca="1">IF(AX41=0,0,$E41/$AX41*AY41)</f>
        <v>#N/A</v>
      </c>
      <c r="BF41" s="130" t="e">
        <f ca="1">IF(AX41=0,0,$E41/$AX41*AZ41)</f>
        <v>#N/A</v>
      </c>
      <c r="BG41" s="130" t="e">
        <f ca="1">IF(AX41=0,0,$E41/$AX41*BA41)</f>
        <v>#N/A</v>
      </c>
      <c r="BH41" s="130" t="e">
        <f ca="1">IF(AX41=0,0,$F41/$AX41*AY41)</f>
        <v>#N/A</v>
      </c>
      <c r="BI41" s="130" t="e">
        <f ca="1">IF(AX41=0,0,$F41/$AX41*AZ41)</f>
        <v>#N/A</v>
      </c>
      <c r="BJ41" s="130" t="e">
        <f ca="1">IF(AX41=0,0,$F41/$AX41*BA41)</f>
        <v>#N/A</v>
      </c>
      <c r="BK41" s="130" t="e">
        <f ca="1">IF(AX41=0,0,$G41/$AX41*AY41)</f>
        <v>#N/A</v>
      </c>
      <c r="BL41" s="130" t="e">
        <f ca="1">IF(AX41=0,0,$G41/$AX41*AZ41)</f>
        <v>#N/A</v>
      </c>
      <c r="BM41" s="130" t="e">
        <f ca="1">IF(AX41=0,0,$G41/$AX41*BA41)</f>
        <v>#N/A</v>
      </c>
      <c r="BN41" s="130" t="e">
        <f ca="1">IF(AX41=0,0,$H41/$AX41*AY41)</f>
        <v>#N/A</v>
      </c>
      <c r="BO41" s="130" t="e">
        <f ca="1">IF(AX41=0,0,$H41/$AX41*AZ41)</f>
        <v>#N/A</v>
      </c>
      <c r="BP41" s="130" t="e">
        <f ca="1">IF(AX41=0,0,$H41/$AX41*BA41)</f>
        <v>#N/A</v>
      </c>
      <c r="BQ41" s="130" t="e">
        <f ca="1">IF(AX41=0,0,$I41/$AX41*AY41)</f>
        <v>#N/A</v>
      </c>
      <c r="BR41" s="130" t="e">
        <f ca="1">IF(AX41=0,0,$I41/$AX41*AZ41)</f>
        <v>#N/A</v>
      </c>
      <c r="BS41" s="130" t="e">
        <f ca="1">IF(AX41=0,0,$I41/$AX41*BA41)</f>
        <v>#N/A</v>
      </c>
      <c r="BT41" s="130" t="e">
        <f ca="1">IF(AX41=0,0,$J41/$AX41*AY41)</f>
        <v>#N/A</v>
      </c>
      <c r="BU41" s="130" t="e">
        <f ca="1">IF(AX41=0,0,$J41/$AX41*AZ41)</f>
        <v>#N/A</v>
      </c>
      <c r="BV41" s="130" t="e">
        <f ca="1">IF(AX41=0,0,$J41/$AX41*BA41)</f>
        <v>#N/A</v>
      </c>
      <c r="BW41" s="130" t="e">
        <f ca="1">IF(AX41=0,0,$L41/$AX41*AY41)</f>
        <v>#N/A</v>
      </c>
      <c r="BX41" s="130" t="e">
        <f ca="1">IF(AX41=0,0,$L41/$AX41*AZ41)</f>
        <v>#N/A</v>
      </c>
      <c r="BY41" s="130" t="e">
        <f ca="1">IF(AX41=0,0,$L41/$AX41*BA41)</f>
        <v>#N/A</v>
      </c>
    </row>
    <row r="42" spans="1:78" ht="74.95" customHeight="1" thickBot="1">
      <c r="B42" s="364" t="s">
        <v>693</v>
      </c>
      <c r="C42" s="789" t="str">
        <f>IF(C41="NA","NA","")</f>
        <v>NA</v>
      </c>
      <c r="D42" s="789"/>
      <c r="E42" s="789"/>
      <c r="F42" s="789"/>
      <c r="G42" s="789"/>
      <c r="H42" s="789"/>
      <c r="I42" s="789"/>
      <c r="J42" s="789"/>
      <c r="K42" s="789"/>
      <c r="L42" s="789"/>
      <c r="M42" s="789"/>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row>
    <row r="43" spans="1:78" s="46" customFormat="1" ht="15.75" thickTop="1">
      <c r="B43" s="46" t="s">
        <v>843</v>
      </c>
      <c r="D43" s="105">
        <f t="shared" ref="D43:L43" ca="1" si="34">+D3+D5+D7+D9+D11+D13+D15+D17+D19+D21+D23+D25+D27+D29+D31+D33+D35+D37+D39+D41</f>
        <v>0</v>
      </c>
      <c r="E43" s="104">
        <f t="shared" si="34"/>
        <v>0</v>
      </c>
      <c r="F43" s="105">
        <f t="shared" si="34"/>
        <v>0</v>
      </c>
      <c r="G43" s="104">
        <f t="shared" si="34"/>
        <v>0</v>
      </c>
      <c r="H43" s="105">
        <f t="shared" si="34"/>
        <v>0</v>
      </c>
      <c r="I43" s="104">
        <f t="shared" si="34"/>
        <v>0</v>
      </c>
      <c r="J43" s="105">
        <f t="shared" si="34"/>
        <v>0</v>
      </c>
      <c r="K43" s="104">
        <f ca="1">+K3+K5+K7+K9+K11+K13+K15+K17+K19+K21+K23+K25+K27+K29+K31+K33+K35+K37+K39+K41</f>
        <v>0</v>
      </c>
      <c r="L43" s="105">
        <f t="shared" si="34"/>
        <v>0</v>
      </c>
      <c r="M43" s="104">
        <f ca="1">+M3+M5+M7+M9+M11+M13+M15+M17+M19+M21+M23+M25+M27+M29+M31+M33+M35+M37+M39+M41</f>
        <v>0</v>
      </c>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32" t="e">
        <f t="shared" ref="BB43:BY43" ca="1" si="35">+BB3+BB5+BB7+BB9+BB11+BB13+BB15+BB17+BB19+BB21+BB23+BB25+BB27+BB29+BB31+BB33+BB35+BB37+BB39+BB41</f>
        <v>#N/A</v>
      </c>
      <c r="BC43" s="132" t="e">
        <f t="shared" ca="1" si="35"/>
        <v>#N/A</v>
      </c>
      <c r="BD43" s="132" t="e">
        <f t="shared" ca="1" si="35"/>
        <v>#N/A</v>
      </c>
      <c r="BE43" s="132" t="e">
        <f t="shared" ca="1" si="35"/>
        <v>#N/A</v>
      </c>
      <c r="BF43" s="132" t="e">
        <f t="shared" ca="1" si="35"/>
        <v>#N/A</v>
      </c>
      <c r="BG43" s="132" t="e">
        <f t="shared" ca="1" si="35"/>
        <v>#N/A</v>
      </c>
      <c r="BH43" s="132" t="e">
        <f t="shared" ca="1" si="35"/>
        <v>#N/A</v>
      </c>
      <c r="BI43" s="132" t="e">
        <f t="shared" ca="1" si="35"/>
        <v>#N/A</v>
      </c>
      <c r="BJ43" s="132" t="e">
        <f t="shared" ca="1" si="35"/>
        <v>#N/A</v>
      </c>
      <c r="BK43" s="132" t="e">
        <f t="shared" ca="1" si="35"/>
        <v>#N/A</v>
      </c>
      <c r="BL43" s="132" t="e">
        <f t="shared" ca="1" si="35"/>
        <v>#N/A</v>
      </c>
      <c r="BM43" s="132" t="e">
        <f t="shared" ca="1" si="35"/>
        <v>#N/A</v>
      </c>
      <c r="BN43" s="132" t="e">
        <f t="shared" ca="1" si="35"/>
        <v>#N/A</v>
      </c>
      <c r="BO43" s="132" t="e">
        <f t="shared" ca="1" si="35"/>
        <v>#N/A</v>
      </c>
      <c r="BP43" s="132" t="e">
        <f t="shared" ca="1" si="35"/>
        <v>#N/A</v>
      </c>
      <c r="BQ43" s="132" t="e">
        <f t="shared" ca="1" si="35"/>
        <v>#N/A</v>
      </c>
      <c r="BR43" s="132" t="e">
        <f t="shared" ca="1" si="35"/>
        <v>#N/A</v>
      </c>
      <c r="BS43" s="132" t="e">
        <f t="shared" ca="1" si="35"/>
        <v>#N/A</v>
      </c>
      <c r="BT43" s="132" t="e">
        <f t="shared" ca="1" si="35"/>
        <v>#N/A</v>
      </c>
      <c r="BU43" s="132" t="e">
        <f t="shared" ca="1" si="35"/>
        <v>#N/A</v>
      </c>
      <c r="BV43" s="132" t="e">
        <f t="shared" ca="1" si="35"/>
        <v>#N/A</v>
      </c>
      <c r="BW43" s="132" t="e">
        <f t="shared" ca="1" si="35"/>
        <v>#N/A</v>
      </c>
      <c r="BX43" s="132" t="e">
        <f t="shared" ca="1" si="35"/>
        <v>#N/A</v>
      </c>
      <c r="BY43" s="132" t="e">
        <f t="shared" ca="1" si="35"/>
        <v>#N/A</v>
      </c>
    </row>
    <row r="44" spans="1:78">
      <c r="B44" t="s">
        <v>786</v>
      </c>
      <c r="D44" s="17"/>
      <c r="E44" s="17"/>
      <c r="F44" s="17"/>
      <c r="G44" s="17"/>
      <c r="H44" s="17"/>
    </row>
    <row r="45" spans="1:78">
      <c r="B45" s="145" t="s">
        <v>787</v>
      </c>
      <c r="C45" t="str">
        <f>"The maximum funding per project is € "&amp;Info!B6</f>
        <v>The maximum funding per project is € 250000</v>
      </c>
      <c r="M45" s="17"/>
    </row>
    <row r="46" spans="1:78">
      <c r="M46" s="17"/>
      <c r="BZ46" s="17"/>
    </row>
    <row r="47" spans="1:78">
      <c r="C47" s="280" t="s">
        <v>97</v>
      </c>
      <c r="M47" s="17"/>
    </row>
    <row r="48" spans="1:78">
      <c r="M48" s="17"/>
    </row>
  </sheetData>
  <sheetProtection password="C36D" sheet="1" formatCells="0" formatRows="0" autoFilter="0"/>
  <autoFilter ref="B2:M47" xr:uid="{701AF72B-99BE-4F54-B1C2-53F752116661}"/>
  <mergeCells count="25">
    <mergeCell ref="C42:M42"/>
    <mergeCell ref="C32:M32"/>
    <mergeCell ref="C34:M34"/>
    <mergeCell ref="C36:M36"/>
    <mergeCell ref="C38:M38"/>
    <mergeCell ref="C40:M40"/>
    <mergeCell ref="AL1:AW1"/>
    <mergeCell ref="N1:Y1"/>
    <mergeCell ref="Z1:AK1"/>
    <mergeCell ref="C4:M4"/>
    <mergeCell ref="C6:M6"/>
    <mergeCell ref="B1:C1"/>
    <mergeCell ref="D1:M1"/>
    <mergeCell ref="C28:M28"/>
    <mergeCell ref="C30:M30"/>
    <mergeCell ref="C8:M8"/>
    <mergeCell ref="C10:M10"/>
    <mergeCell ref="C12:M12"/>
    <mergeCell ref="C24:M24"/>
    <mergeCell ref="C26:M26"/>
    <mergeCell ref="C14:M14"/>
    <mergeCell ref="C16:M16"/>
    <mergeCell ref="C18:M18"/>
    <mergeCell ref="C20:M20"/>
    <mergeCell ref="C22:M22"/>
  </mergeCells>
  <conditionalFormatting sqref="C4">
    <cfRule type="containsBlanks" dxfId="181" priority="300">
      <formula>LEN(TRIM(C4))=0</formula>
    </cfRule>
  </conditionalFormatting>
  <conditionalFormatting sqref="C6">
    <cfRule type="containsBlanks" dxfId="180" priority="317">
      <formula>LEN(TRIM(C6))=0</formula>
    </cfRule>
  </conditionalFormatting>
  <conditionalFormatting sqref="C8">
    <cfRule type="containsBlanks" dxfId="179" priority="600">
      <formula>LEN(TRIM(C8))=0</formula>
    </cfRule>
  </conditionalFormatting>
  <conditionalFormatting sqref="C10">
    <cfRule type="containsBlanks" dxfId="178" priority="283">
      <formula>LEN(TRIM(C10))=0</formula>
    </cfRule>
  </conditionalFormatting>
  <conditionalFormatting sqref="C12">
    <cfRule type="containsBlanks" dxfId="177" priority="266">
      <formula>LEN(TRIM(C12))=0</formula>
    </cfRule>
  </conditionalFormatting>
  <conditionalFormatting sqref="C14">
    <cfRule type="containsBlanks" dxfId="176" priority="249">
      <formula>LEN(TRIM(C14))=0</formula>
    </cfRule>
  </conditionalFormatting>
  <conditionalFormatting sqref="C16">
    <cfRule type="containsBlanks" dxfId="175" priority="232">
      <formula>LEN(TRIM(C16))=0</formula>
    </cfRule>
  </conditionalFormatting>
  <conditionalFormatting sqref="C18">
    <cfRule type="containsBlanks" dxfId="174" priority="215">
      <formula>LEN(TRIM(C18))=0</formula>
    </cfRule>
  </conditionalFormatting>
  <conditionalFormatting sqref="C20">
    <cfRule type="containsBlanks" dxfId="173" priority="198">
      <formula>LEN(TRIM(C20))=0</formula>
    </cfRule>
  </conditionalFormatting>
  <conditionalFormatting sqref="C22">
    <cfRule type="containsBlanks" dxfId="172" priority="181">
      <formula>LEN(TRIM(C22))=0</formula>
    </cfRule>
  </conditionalFormatting>
  <conditionalFormatting sqref="C24">
    <cfRule type="containsBlanks" dxfId="171" priority="164">
      <formula>LEN(TRIM(C24))=0</formula>
    </cfRule>
  </conditionalFormatting>
  <conditionalFormatting sqref="C26">
    <cfRule type="containsBlanks" dxfId="170" priority="147">
      <formula>LEN(TRIM(C26))=0</formula>
    </cfRule>
  </conditionalFormatting>
  <conditionalFormatting sqref="C28">
    <cfRule type="containsBlanks" dxfId="169" priority="130">
      <formula>LEN(TRIM(C28))=0</formula>
    </cfRule>
  </conditionalFormatting>
  <conditionalFormatting sqref="C30">
    <cfRule type="containsBlanks" dxfId="168" priority="113">
      <formula>LEN(TRIM(C30))=0</formula>
    </cfRule>
  </conditionalFormatting>
  <conditionalFormatting sqref="C32">
    <cfRule type="containsBlanks" dxfId="167" priority="96">
      <formula>LEN(TRIM(C32))=0</formula>
    </cfRule>
  </conditionalFormatting>
  <conditionalFormatting sqref="C34">
    <cfRule type="containsBlanks" dxfId="166" priority="79">
      <formula>LEN(TRIM(C34))=0</formula>
    </cfRule>
  </conditionalFormatting>
  <conditionalFormatting sqref="C36">
    <cfRule type="containsBlanks" dxfId="165" priority="62">
      <formula>LEN(TRIM(C36))=0</formula>
    </cfRule>
  </conditionalFormatting>
  <conditionalFormatting sqref="C38">
    <cfRule type="containsBlanks" dxfId="164" priority="45">
      <formula>LEN(TRIM(C38))=0</formula>
    </cfRule>
  </conditionalFormatting>
  <conditionalFormatting sqref="C40">
    <cfRule type="containsBlanks" dxfId="163" priority="28">
      <formula>LEN(TRIM(C40))=0</formula>
    </cfRule>
  </conditionalFormatting>
  <conditionalFormatting sqref="C42">
    <cfRule type="containsBlanks" dxfId="162" priority="11">
      <formula>LEN(TRIM(C42))=0</formula>
    </cfRule>
  </conditionalFormatting>
  <conditionalFormatting sqref="D3:J3">
    <cfRule type="containsBlanks" dxfId="161" priority="291">
      <formula>LEN(TRIM(D3))=0</formula>
    </cfRule>
  </conditionalFormatting>
  <conditionalFormatting sqref="D5:J5">
    <cfRule type="containsBlanks" dxfId="160" priority="308">
      <formula>LEN(TRIM(D5))=0</formula>
    </cfRule>
  </conditionalFormatting>
  <conditionalFormatting sqref="D7:J7">
    <cfRule type="containsBlanks" dxfId="159" priority="462">
      <formula>LEN(TRIM(D7))=0</formula>
    </cfRule>
  </conditionalFormatting>
  <conditionalFormatting sqref="D9:J9">
    <cfRule type="containsBlanks" dxfId="158" priority="274">
      <formula>LEN(TRIM(D9))=0</formula>
    </cfRule>
  </conditionalFormatting>
  <conditionalFormatting sqref="D11:J11">
    <cfRule type="containsBlanks" dxfId="157" priority="257">
      <formula>LEN(TRIM(D11))=0</formula>
    </cfRule>
  </conditionalFormatting>
  <conditionalFormatting sqref="D13:J13">
    <cfRule type="containsBlanks" dxfId="156" priority="240">
      <formula>LEN(TRIM(D13))=0</formula>
    </cfRule>
  </conditionalFormatting>
  <conditionalFormatting sqref="D15:J15">
    <cfRule type="containsBlanks" dxfId="155" priority="223">
      <formula>LEN(TRIM(D15))=0</formula>
    </cfRule>
  </conditionalFormatting>
  <conditionalFormatting sqref="D17:J17">
    <cfRule type="containsBlanks" dxfId="154" priority="206">
      <formula>LEN(TRIM(D17))=0</formula>
    </cfRule>
  </conditionalFormatting>
  <conditionalFormatting sqref="D19:J19">
    <cfRule type="containsBlanks" dxfId="153" priority="189">
      <formula>LEN(TRIM(D19))=0</formula>
    </cfRule>
  </conditionalFormatting>
  <conditionalFormatting sqref="D21:J21">
    <cfRule type="containsBlanks" dxfId="152" priority="172">
      <formula>LEN(TRIM(D21))=0</formula>
    </cfRule>
  </conditionalFormatting>
  <conditionalFormatting sqref="D23:J23">
    <cfRule type="containsBlanks" dxfId="151" priority="155">
      <formula>LEN(TRIM(D23))=0</formula>
    </cfRule>
  </conditionalFormatting>
  <conditionalFormatting sqref="D25:J25">
    <cfRule type="containsBlanks" dxfId="150" priority="138">
      <formula>LEN(TRIM(D25))=0</formula>
    </cfRule>
  </conditionalFormatting>
  <conditionalFormatting sqref="D27:J27">
    <cfRule type="containsBlanks" dxfId="149" priority="121">
      <formula>LEN(TRIM(D27))=0</formula>
    </cfRule>
  </conditionalFormatting>
  <conditionalFormatting sqref="D29:J29">
    <cfRule type="containsBlanks" dxfId="148" priority="104">
      <formula>LEN(TRIM(D29))=0</formula>
    </cfRule>
  </conditionalFormatting>
  <conditionalFormatting sqref="D31:J31">
    <cfRule type="containsBlanks" dxfId="147" priority="87">
      <formula>LEN(TRIM(D31))=0</formula>
    </cfRule>
  </conditionalFormatting>
  <conditionalFormatting sqref="D33:J33">
    <cfRule type="containsBlanks" dxfId="146" priority="70">
      <formula>LEN(TRIM(D33))=0</formula>
    </cfRule>
  </conditionalFormatting>
  <conditionalFormatting sqref="D35:J35">
    <cfRule type="containsBlanks" dxfId="145" priority="53">
      <formula>LEN(TRIM(D35))=0</formula>
    </cfRule>
  </conditionalFormatting>
  <conditionalFormatting sqref="D37:J37">
    <cfRule type="containsBlanks" dxfId="144" priority="36">
      <formula>LEN(TRIM(D37))=0</formula>
    </cfRule>
  </conditionalFormatting>
  <conditionalFormatting sqref="D39:J39">
    <cfRule type="containsBlanks" dxfId="143" priority="19">
      <formula>LEN(TRIM(D39))=0</formula>
    </cfRule>
  </conditionalFormatting>
  <conditionalFormatting sqref="D41:J41">
    <cfRule type="containsBlanks" dxfId="142" priority="2">
      <formula>LEN(TRIM(D41))=0</formula>
    </cfRule>
  </conditionalFormatting>
  <conditionalFormatting sqref="D43:J43 L43">
    <cfRule type="containsBlanks" dxfId="141" priority="782">
      <formula>LEN(TRIM(D43))=0</formula>
    </cfRule>
  </conditionalFormatting>
  <conditionalFormatting sqref="D1:M1">
    <cfRule type="containsText" dxfId="140" priority="603" operator="containsText" text="Alert">
      <formula>NOT(ISERROR(SEARCH("Alert",D1)))</formula>
    </cfRule>
  </conditionalFormatting>
  <conditionalFormatting sqref="D3:M3">
    <cfRule type="containsBlanks" dxfId="139" priority="290">
      <formula>LEN(TRIM(D3))=0</formula>
    </cfRule>
  </conditionalFormatting>
  <conditionalFormatting sqref="D5:M5">
    <cfRule type="containsBlanks" dxfId="138" priority="307">
      <formula>LEN(TRIM(D5))=0</formula>
    </cfRule>
  </conditionalFormatting>
  <conditionalFormatting sqref="D7:M7">
    <cfRule type="containsBlanks" dxfId="137" priority="461">
      <formula>LEN(TRIM(D7))=0</formula>
    </cfRule>
  </conditionalFormatting>
  <conditionalFormatting sqref="D9:M9">
    <cfRule type="containsBlanks" dxfId="136" priority="273">
      <formula>LEN(TRIM(D9))=0</formula>
    </cfRule>
  </conditionalFormatting>
  <conditionalFormatting sqref="D11:M11">
    <cfRule type="containsBlanks" dxfId="135" priority="256">
      <formula>LEN(TRIM(D11))=0</formula>
    </cfRule>
  </conditionalFormatting>
  <conditionalFormatting sqref="D13:M13">
    <cfRule type="containsBlanks" dxfId="134" priority="239">
      <formula>LEN(TRIM(D13))=0</formula>
    </cfRule>
  </conditionalFormatting>
  <conditionalFormatting sqref="D15:M15">
    <cfRule type="containsBlanks" dxfId="133" priority="222">
      <formula>LEN(TRIM(D15))=0</formula>
    </cfRule>
  </conditionalFormatting>
  <conditionalFormatting sqref="D17:M17">
    <cfRule type="containsBlanks" dxfId="132" priority="205">
      <formula>LEN(TRIM(D17))=0</formula>
    </cfRule>
  </conditionalFormatting>
  <conditionalFormatting sqref="D19:M19">
    <cfRule type="containsBlanks" dxfId="131" priority="188">
      <formula>LEN(TRIM(D19))=0</formula>
    </cfRule>
  </conditionalFormatting>
  <conditionalFormatting sqref="D21:M21">
    <cfRule type="containsBlanks" dxfId="130" priority="171">
      <formula>LEN(TRIM(D21))=0</formula>
    </cfRule>
  </conditionalFormatting>
  <conditionalFormatting sqref="D23:M23">
    <cfRule type="containsBlanks" dxfId="129" priority="154">
      <formula>LEN(TRIM(D23))=0</formula>
    </cfRule>
  </conditionalFormatting>
  <conditionalFormatting sqref="D25:M25">
    <cfRule type="containsBlanks" dxfId="128" priority="137">
      <formula>LEN(TRIM(D25))=0</formula>
    </cfRule>
  </conditionalFormatting>
  <conditionalFormatting sqref="D27:M27">
    <cfRule type="containsBlanks" dxfId="127" priority="120">
      <formula>LEN(TRIM(D27))=0</formula>
    </cfRule>
  </conditionalFormatting>
  <conditionalFormatting sqref="D29:M29">
    <cfRule type="containsBlanks" dxfId="126" priority="103">
      <formula>LEN(TRIM(D29))=0</formula>
    </cfRule>
  </conditionalFormatting>
  <conditionalFormatting sqref="D31:M31">
    <cfRule type="containsBlanks" dxfId="125" priority="86">
      <formula>LEN(TRIM(D31))=0</formula>
    </cfRule>
  </conditionalFormatting>
  <conditionalFormatting sqref="D33:M33">
    <cfRule type="containsBlanks" dxfId="124" priority="69">
      <formula>LEN(TRIM(D33))=0</formula>
    </cfRule>
  </conditionalFormatting>
  <conditionalFormatting sqref="D35:M35">
    <cfRule type="containsBlanks" dxfId="123" priority="52">
      <formula>LEN(TRIM(D35))=0</formula>
    </cfRule>
  </conditionalFormatting>
  <conditionalFormatting sqref="D37:M37">
    <cfRule type="containsBlanks" dxfId="122" priority="35">
      <formula>LEN(TRIM(D37))=0</formula>
    </cfRule>
  </conditionalFormatting>
  <conditionalFormatting sqref="D39:M39">
    <cfRule type="containsBlanks" dxfId="121" priority="18">
      <formula>LEN(TRIM(D39))=0</formula>
    </cfRule>
  </conditionalFormatting>
  <conditionalFormatting sqref="D41:M41">
    <cfRule type="containsBlanks" dxfId="120" priority="1">
      <formula>LEN(TRIM(D41))=0</formula>
    </cfRule>
  </conditionalFormatting>
  <conditionalFormatting sqref="D43:M43">
    <cfRule type="containsBlanks" dxfId="119" priority="781">
      <formula>LEN(TRIM(D43))=0</formula>
    </cfRule>
  </conditionalFormatting>
  <conditionalFormatting sqref="L3">
    <cfRule type="containsBlanks" dxfId="118" priority="306">
      <formula>LEN(TRIM(L3))=0</formula>
    </cfRule>
  </conditionalFormatting>
  <conditionalFormatting sqref="L5">
    <cfRule type="containsBlanks" dxfId="117" priority="323">
      <formula>LEN(TRIM(L5))=0</formula>
    </cfRule>
  </conditionalFormatting>
  <conditionalFormatting sqref="L7">
    <cfRule type="containsBlanks" dxfId="116" priority="778">
      <formula>LEN(TRIM(L7))=0</formula>
    </cfRule>
  </conditionalFormatting>
  <conditionalFormatting sqref="L9">
    <cfRule type="containsBlanks" dxfId="115" priority="289">
      <formula>LEN(TRIM(L9))=0</formula>
    </cfRule>
  </conditionalFormatting>
  <conditionalFormatting sqref="L11">
    <cfRule type="containsBlanks" dxfId="114" priority="272">
      <formula>LEN(TRIM(L11))=0</formula>
    </cfRule>
  </conditionalFormatting>
  <conditionalFormatting sqref="L13">
    <cfRule type="containsBlanks" dxfId="113" priority="255">
      <formula>LEN(TRIM(L13))=0</formula>
    </cfRule>
  </conditionalFormatting>
  <conditionalFormatting sqref="L15">
    <cfRule type="containsBlanks" dxfId="112" priority="238">
      <formula>LEN(TRIM(L15))=0</formula>
    </cfRule>
  </conditionalFormatting>
  <conditionalFormatting sqref="L17">
    <cfRule type="containsBlanks" dxfId="111" priority="221">
      <formula>LEN(TRIM(L17))=0</formula>
    </cfRule>
  </conditionalFormatting>
  <conditionalFormatting sqref="L19">
    <cfRule type="containsBlanks" dxfId="110" priority="204">
      <formula>LEN(TRIM(L19))=0</formula>
    </cfRule>
  </conditionalFormatting>
  <conditionalFormatting sqref="L21">
    <cfRule type="containsBlanks" dxfId="109" priority="187">
      <formula>LEN(TRIM(L21))=0</formula>
    </cfRule>
  </conditionalFormatting>
  <conditionalFormatting sqref="L23">
    <cfRule type="containsBlanks" dxfId="108" priority="170">
      <formula>LEN(TRIM(L23))=0</formula>
    </cfRule>
  </conditionalFormatting>
  <conditionalFormatting sqref="L25">
    <cfRule type="containsBlanks" dxfId="107" priority="153">
      <formula>LEN(TRIM(L25))=0</formula>
    </cfRule>
  </conditionalFormatting>
  <conditionalFormatting sqref="L27">
    <cfRule type="containsBlanks" dxfId="106" priority="136">
      <formula>LEN(TRIM(L27))=0</formula>
    </cfRule>
  </conditionalFormatting>
  <conditionalFormatting sqref="L29">
    <cfRule type="containsBlanks" dxfId="105" priority="119">
      <formula>LEN(TRIM(L29))=0</formula>
    </cfRule>
  </conditionalFormatting>
  <conditionalFormatting sqref="L31">
    <cfRule type="containsBlanks" dxfId="104" priority="102">
      <formula>LEN(TRIM(L31))=0</formula>
    </cfRule>
  </conditionalFormatting>
  <conditionalFormatting sqref="L33">
    <cfRule type="containsBlanks" dxfId="103" priority="85">
      <formula>LEN(TRIM(L33))=0</formula>
    </cfRule>
  </conditionalFormatting>
  <conditionalFormatting sqref="L35">
    <cfRule type="containsBlanks" dxfId="102" priority="68">
      <formula>LEN(TRIM(L35))=0</formula>
    </cfRule>
  </conditionalFormatting>
  <conditionalFormatting sqref="L37">
    <cfRule type="containsBlanks" dxfId="101" priority="51">
      <formula>LEN(TRIM(L37))=0</formula>
    </cfRule>
  </conditionalFormatting>
  <conditionalFormatting sqref="L39">
    <cfRule type="containsBlanks" dxfId="100" priority="34">
      <formula>LEN(TRIM(L39))=0</formula>
    </cfRule>
  </conditionalFormatting>
  <conditionalFormatting sqref="L41">
    <cfRule type="containsBlanks" dxfId="99" priority="17">
      <formula>LEN(TRIM(L41))=0</formula>
    </cfRule>
  </conditionalFormatting>
  <dataValidations count="9">
    <dataValidation allowBlank="1" showInputMessage="1" showErrorMessage="1" promptTitle="Human Resources" prompt="Human Resources" sqref="D2" xr:uid="{27B3C420-1A57-4153-BDA0-C05BE2AEC708}"/>
    <dataValidation allowBlank="1" showInputMessage="1" showErrorMessage="1" promptTitle="Missions" prompt="Missions" sqref="E2" xr:uid="{D5B4CFB3-A1FD-42EB-B64A-304D81E49680}"/>
    <dataValidation allowBlank="1" showInputMessage="1" showErrorMessage="1" promptTitle="Equipments" prompt="Scientific and technical instruments and equipment" sqref="G2" xr:uid="{8282D40B-618B-4670-AB84-4F00AA442DE4}"/>
    <dataValidation allowBlank="1" showInputMessage="1" showErrorMessage="1" promptTitle="Patents" prompt="Patents registration" sqref="J2" xr:uid="{FE6FFC93-3BA5-4A1C-8FBD-8E85D2E1B12A}"/>
    <dataValidation allowBlank="1" showInputMessage="1" showErrorMessage="1" promptTitle="Dissemination" prompt="Demonstration, Promotion and Dissemination" sqref="F2" xr:uid="{153B336C-4D56-46F9-A936-C1BE658AE969}"/>
    <dataValidation allowBlank="1" showInputMessage="1" showErrorMessage="1" promptTitle="Adaptation of buildings" prompt="Adaptation of buildings and facilities" sqref="I2" xr:uid="{B24E9F2D-00F2-40EA-899B-2D5E44D2B32D}"/>
    <dataValidation allowBlank="1" showInputMessage="1" showErrorMessage="1" promptTitle="Purchase of goods and services" prompt="Purchase of goods and services" sqref="H2" xr:uid="{ED2B8396-3E5A-44BC-8276-05FEC81CF0BC}"/>
    <dataValidation allowBlank="1" showInputMessage="1" showErrorMessage="1" promptTitle="Overheads" prompt="Overheads" sqref="K2" xr:uid="{F03422EF-C643-4132-9D3B-C14BC9E81B4E}"/>
    <dataValidation allowBlank="1" showInputMessage="1" showErrorMessage="1" promptTitle="Justification" prompt="Overall justification of the costs of the task:" sqref="B4 B6 B8 B12 B10 B14 B16 B18 B20 B22 B24 B26 B28 B30 B32 B34 B36 B38 B40 B42" xr:uid="{F4700395-4F97-4167-83B6-24B0A1F111BF}"/>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A90A-BB7A-40ED-8D3E-FB1D5F6E3CCA}">
  <sheetPr>
    <tabColor theme="5" tint="0.39997558519241921"/>
    <pageSetUpPr fitToPage="1"/>
  </sheetPr>
  <dimension ref="A1:BA108"/>
  <sheetViews>
    <sheetView showGridLines="0" zoomScale="90" zoomScaleNormal="90" workbookViewId="0">
      <pane xSplit="2" ySplit="2" topLeftCell="C3" activePane="bottomRight" state="frozen"/>
      <selection activeCell="F22" sqref="F22:J22"/>
      <selection pane="topRight" activeCell="F22" sqref="F22:J22"/>
      <selection pane="bottomLeft" activeCell="F22" sqref="F22:J22"/>
      <selection pane="bottomRight" activeCell="B3" sqref="B3"/>
    </sheetView>
  </sheetViews>
  <sheetFormatPr defaultColWidth="8.88671875" defaultRowHeight="15.05"/>
  <cols>
    <col min="1" max="1" width="7.109375" style="164" bestFit="1" customWidth="1"/>
    <col min="2" max="2" width="13.44140625" style="164" customWidth="1"/>
    <col min="3" max="3" width="16" style="169" customWidth="1"/>
    <col min="4" max="4" width="77.109375" style="169" customWidth="1"/>
    <col min="5" max="6" width="15.109375" style="169" customWidth="1"/>
    <col min="7" max="7" width="63.44140625" style="169" hidden="1" customWidth="1"/>
    <col min="8" max="8" width="2.44140625" style="169" customWidth="1"/>
    <col min="9" max="9" width="10.44140625" style="169" hidden="1" customWidth="1"/>
    <col min="10" max="11" width="18.44140625" style="169" hidden="1" customWidth="1"/>
    <col min="12" max="12" width="46.44140625" style="169" hidden="1" customWidth="1"/>
    <col min="13" max="19" width="1.44140625" style="169" hidden="1" customWidth="1"/>
    <col min="20" max="20" width="5.44140625" style="169" hidden="1" customWidth="1"/>
    <col min="21" max="21" width="0" style="169" hidden="1" customWidth="1"/>
    <col min="22" max="32" width="13.44140625" style="169" hidden="1" customWidth="1"/>
    <col min="33" max="33" width="12.44140625" style="169" hidden="1" customWidth="1"/>
    <col min="34" max="34" width="0" style="169" hidden="1" customWidth="1"/>
    <col min="35" max="35" width="8.88671875" style="169" hidden="1" customWidth="1"/>
    <col min="36" max="36" width="9.33203125" style="169" hidden="1" customWidth="1"/>
    <col min="37" max="38" width="0" style="169" hidden="1" customWidth="1"/>
    <col min="39" max="53" width="8.88671875" style="110"/>
    <col min="54" max="16384" width="8.88671875" style="169"/>
  </cols>
  <sheetData>
    <row r="1" spans="1:38" ht="60.75" customHeight="1">
      <c r="A1" s="806" t="s">
        <v>928</v>
      </c>
      <c r="B1" s="806"/>
      <c r="C1" s="806"/>
      <c r="D1" s="806"/>
      <c r="E1" s="807" t="str">
        <f>IF('[3]7.Budget'!N15=0,"",IF('[3]7.Budget'!N15&gt;(IF('[3]1.Project identification'!D2="PeX",50000,250000)),"ERROR! Budget exceeds the maximum allowed in this call",""))</f>
        <v/>
      </c>
      <c r="F1" s="807"/>
      <c r="G1" s="807"/>
      <c r="I1" s="808" t="s">
        <v>869</v>
      </c>
      <c r="J1" s="808"/>
      <c r="K1" s="808"/>
      <c r="L1" s="808"/>
      <c r="T1" s="456"/>
      <c r="U1" s="794" t="s">
        <v>941</v>
      </c>
      <c r="V1" s="794"/>
      <c r="W1" s="794"/>
      <c r="X1" s="794"/>
      <c r="Y1" s="794"/>
      <c r="Z1" s="794"/>
      <c r="AA1" s="794"/>
      <c r="AB1" s="794"/>
      <c r="AC1" s="794"/>
      <c r="AD1" s="794"/>
      <c r="AE1" s="794"/>
      <c r="AF1" s="794"/>
      <c r="AG1" s="794"/>
      <c r="AH1" s="110"/>
      <c r="AI1" s="110"/>
      <c r="AJ1" s="110"/>
      <c r="AK1" s="110"/>
      <c r="AL1" s="110"/>
    </row>
    <row r="2" spans="1:38" ht="29.95" customHeight="1">
      <c r="A2" s="369" t="s">
        <v>325</v>
      </c>
      <c r="B2" s="162" t="s">
        <v>870</v>
      </c>
      <c r="C2" s="162" t="s">
        <v>871</v>
      </c>
      <c r="D2" s="162" t="s">
        <v>872</v>
      </c>
      <c r="E2" s="162" t="s">
        <v>332</v>
      </c>
      <c r="F2" s="162" t="s">
        <v>91</v>
      </c>
      <c r="G2" s="161" t="s">
        <v>333</v>
      </c>
      <c r="I2" s="370" t="s">
        <v>873</v>
      </c>
      <c r="J2" s="371" t="s">
        <v>0</v>
      </c>
      <c r="K2" s="371" t="s">
        <v>45</v>
      </c>
      <c r="L2" s="372" t="s">
        <v>729</v>
      </c>
      <c r="T2" s="456"/>
      <c r="U2" s="440" t="s">
        <v>91</v>
      </c>
      <c r="V2" s="440" t="str">
        <f>VLOOKUP(V24,'2.Inst.'!$A$70:$D$80,4,FALSE)</f>
        <v/>
      </c>
      <c r="W2" s="440">
        <f>VLOOKUP(W24,'2.Inst.'!$A$70:$D$80,4,FALSE)</f>
        <v>0</v>
      </c>
      <c r="X2" s="440">
        <f>VLOOKUP(X24,'2.Inst.'!$A$70:$D$80,4,FALSE)</f>
        <v>0</v>
      </c>
      <c r="Y2" s="440">
        <f>VLOOKUP(Y24,'2.Inst.'!$A$70:$D$80,4,FALSE)</f>
        <v>0</v>
      </c>
      <c r="Z2" s="440">
        <f>VLOOKUP(Z24,'2.Inst.'!$A$70:$D$80,4,FALSE)</f>
        <v>0</v>
      </c>
      <c r="AA2" s="440">
        <f>VLOOKUP(AA24,'2.Inst.'!$A$70:$D$80,4,FALSE)</f>
        <v>0</v>
      </c>
      <c r="AB2" s="440">
        <f>VLOOKUP(AB24,'2.Inst.'!$A$70:$D$80,4,FALSE)</f>
        <v>0</v>
      </c>
      <c r="AC2" s="440">
        <f>VLOOKUP(AC24,'2.Inst.'!$A$70:$D$80,4,FALSE)</f>
        <v>0</v>
      </c>
      <c r="AD2" s="440">
        <f>VLOOKUP(AD24,'2.Inst.'!$A$70:$D$80,4,FALSE)</f>
        <v>0</v>
      </c>
      <c r="AE2" s="440">
        <f>VLOOKUP(AE24,'2.Inst.'!$A$70:$D$80,4,FALSE)</f>
        <v>0</v>
      </c>
      <c r="AF2" s="440">
        <f>VLOOKUP(AF24,'2.Inst.'!$A$70:$D$80,4,FALSE)</f>
        <v>0</v>
      </c>
      <c r="AG2" s="440" t="s">
        <v>45</v>
      </c>
      <c r="AH2" s="110"/>
      <c r="AI2" s="110"/>
      <c r="AJ2" s="110"/>
      <c r="AK2" s="110"/>
      <c r="AL2" s="110"/>
    </row>
    <row r="3" spans="1:38" ht="17.2" customHeight="1">
      <c r="A3" s="373">
        <v>1</v>
      </c>
      <c r="B3" s="374"/>
      <c r="C3" s="375"/>
      <c r="D3" s="475"/>
      <c r="E3" s="374"/>
      <c r="F3" s="374"/>
      <c r="G3" s="377" t="str">
        <f>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f>
        <v/>
      </c>
      <c r="I3" s="378" t="s">
        <v>39</v>
      </c>
      <c r="J3" s="379" t="e">
        <f ca="1">'4.Team'!CB39+'4.Team'!CB48+SUMIFS(Tabela16[Value],Tabela16[Institution**],'6.Other Exp. Categories'!J$2,Rub.M,'6.Other Exp. Categories'!I3)</f>
        <v>#N/A</v>
      </c>
      <c r="K3" s="379" t="e">
        <f ca="1">'4.Team'!CB39+'4.Team'!CB48+SUMIFS(Tabela16[Value],Rub.M,'6.Other Exp. Categories'!I3)</f>
        <v>#N/A</v>
      </c>
      <c r="L3" s="380"/>
      <c r="T3" s="456" t="s">
        <v>18</v>
      </c>
      <c r="U3" s="450" t="str">
        <f>+'3.Tasks'!BK4</f>
        <v>N/A</v>
      </c>
      <c r="V3" s="451">
        <f ca="1">(SUMIFS(V.M,Tabela16[Task Nº],$U3,Tabela16[Institution**],V$2)+'5.Equipments'!AJ23+'4.Team'!CI63)*Info!F$11</f>
        <v>0</v>
      </c>
      <c r="W3" s="451">
        <f>SUMIFS(V.M,Tabela16[Task Nº],$U3,Tabela16[Institution**],W$2)*Info!C10</f>
        <v>0</v>
      </c>
      <c r="X3" s="451">
        <f>SUMIFS(V.M,Tabela16[Task Nº],$U3,Tabela16[Institution**],X$2)*Info!C$10</f>
        <v>0</v>
      </c>
      <c r="Y3" s="451">
        <f>SUMIFS(V.M,Tabela16[Task Nº],$U3,Tabela16[Institution**],Y$2)*Info!C10</f>
        <v>0</v>
      </c>
      <c r="Z3" s="451">
        <f>SUMIFS(V.M,Tabela16[Task Nº],$U3,Tabela16[Institution**],Z$2)*Info!C10</f>
        <v>0</v>
      </c>
      <c r="AA3" s="451">
        <f>SUMIFS(V.M,Tabela16[Task Nº],$U3,Tabela16[Institution**],AA$2)*Info!C10</f>
        <v>0</v>
      </c>
      <c r="AB3" s="451">
        <f>SUMIFS(V.M,Tabela16[Task Nº],$U3,Tabela16[Institution**],AB$2)*Info!C10</f>
        <v>0</v>
      </c>
      <c r="AC3" s="451">
        <f>SUMIFS(V.M,Tabela16[Task Nº],$U3,Tabela16[Institution**],AC$2)*Info!C10</f>
        <v>0</v>
      </c>
      <c r="AD3" s="451">
        <f>SUMIFS(V.M,Tabela16[Task Nº],$U3,Tabela16[Institution**],AD$2)*Info!C10</f>
        <v>0</v>
      </c>
      <c r="AE3" s="451">
        <f>SUMIFS(V.M,Tabela16[Task Nº],$U3,Tabela16[Institution**],AE$2)*Info!C10</f>
        <v>0</v>
      </c>
      <c r="AF3" s="451">
        <f>SUMIFS(V.M,Tabela16[Task Nº],$U3,Tabela16[Institution**],AF$2)*Info!C10</f>
        <v>0</v>
      </c>
      <c r="AG3" s="451">
        <f ca="1">SUM(V3:AF3)</f>
        <v>0</v>
      </c>
      <c r="AH3" s="110"/>
      <c r="AI3" s="110"/>
      <c r="AJ3" s="110"/>
      <c r="AK3" s="110"/>
      <c r="AL3" s="110"/>
    </row>
    <row r="4" spans="1:38" ht="17.2" customHeight="1">
      <c r="A4" s="373">
        <f>+A3+1</f>
        <v>2</v>
      </c>
      <c r="B4" s="374"/>
      <c r="C4" s="375"/>
      <c r="D4" s="475"/>
      <c r="E4" s="374"/>
      <c r="F4" s="374"/>
      <c r="G4" s="377" t="str">
        <f>IF(Tabela16[[#This Row],[Value]]="","",IF(Tabela16[[#This Row],[Institution**]]="","Alert: Fill in Institution",IF('[3]6.Other Exp. Categories'!$B4="M","Note: impute in DPD charging costs for presenting papers at conferences",IF('[3]6.Other Exp. Categories'!$B4="SC","Note: Impute in AQ? SC needs validation from FCiência.ID",IF('[3]6.Other Exp. Categories'!$B4="AE","Note: Limited to a maximum of 10% of the total eligible project expenses",IF(Tabela16[[#This Row],[Expense Category*]]="RH",P20,""))))))</f>
        <v/>
      </c>
      <c r="I4" s="381" t="s">
        <v>4</v>
      </c>
      <c r="J4" s="379">
        <f>+SUMIFS(Tabela16[Value],Tabela16[Institution**],'6.Other Exp. Categories'!J$2,Rub.M,'6.Other Exp. Categories'!I4)</f>
        <v>0</v>
      </c>
      <c r="K4" s="379">
        <f>+SUMIFS(Tabela16[Value],Rub.M,'6.Other Exp. Categories'!I4)</f>
        <v>0</v>
      </c>
      <c r="L4" s="380"/>
      <c r="P4" s="169" t="s">
        <v>874</v>
      </c>
      <c r="T4" s="456" t="s">
        <v>19</v>
      </c>
      <c r="U4" s="450" t="str">
        <f>+'3.Tasks'!BK5</f>
        <v>N/A</v>
      </c>
      <c r="V4" s="451">
        <f ca="1">(SUMIFS(V.M,Tabela16[Task Nº],$U4,Tabela16[Institution**],V$2)+'5.Equipments'!AK23+'4.Team'!CJ63)*Info!F$11</f>
        <v>0</v>
      </c>
      <c r="W4" s="451">
        <f>SUMIFS(V.M,Tabela16[Task Nº],$U4,Tabela16[Institution**],W$2)*Info!C10</f>
        <v>0</v>
      </c>
      <c r="X4" s="451">
        <f>SUMIFS(V.M,Tabela16[Task Nº],$U4,Tabela16[Institution**],X$2)*Info!C$10</f>
        <v>0</v>
      </c>
      <c r="Y4" s="451">
        <f>SUMIFS(V.M,Tabela16[Task Nº],$U4,Tabela16[Institution**],Y$2)*Info!C$10</f>
        <v>0</v>
      </c>
      <c r="Z4" s="451">
        <f>SUMIFS(V.M,Tabela16[Task Nº],$U4,Tabela16[Institution**],Z$2)*Info!C$10</f>
        <v>0</v>
      </c>
      <c r="AA4" s="451">
        <f>SUMIFS(V.M,Tabela16[Task Nº],$U4,Tabela16[Institution**],AA$2)*Info!C$10</f>
        <v>0</v>
      </c>
      <c r="AB4" s="451">
        <f>SUMIFS(V.M,Tabela16[Task Nº],$U4,Tabela16[Institution**],AB$2)*Info!C$10</f>
        <v>0</v>
      </c>
      <c r="AC4" s="451">
        <f>SUMIFS(V.M,Tabela16[Task Nº],$U4,Tabela16[Institution**],AC$2)*Info!C$10</f>
        <v>0</v>
      </c>
      <c r="AD4" s="451">
        <f>SUMIFS(V.M,Tabela16[Task Nº],$U4,Tabela16[Institution**],AD$2)*Info!C$10</f>
        <v>0</v>
      </c>
      <c r="AE4" s="451">
        <f>SUMIFS(V.M,Tabela16[Task Nº],$U4,Tabela16[Institution**],AE$2)*Info!C$10</f>
        <v>0</v>
      </c>
      <c r="AF4" s="451">
        <f>SUMIFS(V.M,Tabela16[Task Nº],$U4,Tabela16[Institution**],AF$2)*Info!C$10</f>
        <v>0</v>
      </c>
      <c r="AG4" s="451">
        <f t="shared" ref="AG4:AG22" ca="1" si="0">SUM(V4:AF4)</f>
        <v>0</v>
      </c>
      <c r="AH4" s="110"/>
      <c r="AI4" s="110"/>
      <c r="AJ4" s="110"/>
      <c r="AK4" s="110"/>
      <c r="AL4" s="110"/>
    </row>
    <row r="5" spans="1:38" ht="17.2" customHeight="1">
      <c r="A5" s="373">
        <f t="shared" ref="A5:A68" si="1">+A4+1</f>
        <v>3</v>
      </c>
      <c r="B5" s="374"/>
      <c r="C5" s="375"/>
      <c r="D5" s="475"/>
      <c r="E5" s="374"/>
      <c r="F5" s="374"/>
      <c r="G5" s="377" t="str">
        <f>IF(Tabela16[[#This Row],[Value]]="","",IF(Tabela16[[#This Row],[Institution**]]="","Alert: Fill in Institution",IF('[3]6.Other Exp. Categories'!$B5="M","Note: impute in DPD charging costs for presenting papers at conferences",IF('[3]6.Other Exp. Categories'!$B5="SC","Note: Impute in AQ? SC needs validation from FCiência.ID",IF('[3]6.Other Exp. Categories'!$B5="AE","Note: Limited to a maximum of 10% of the total eligible project expenses",IF(Tabela16[[#This Row],[Expense Category*]]="RH",P21,""))))))</f>
        <v/>
      </c>
      <c r="I5" s="381" t="s">
        <v>40</v>
      </c>
      <c r="J5" s="379">
        <f>+SUMIFS(Tabela16[Value],Tabela16[Institution**],'6.Other Exp. Categories'!J$2,Rub.M,'6.Other Exp. Categories'!I5)</f>
        <v>0</v>
      </c>
      <c r="K5" s="379">
        <f>+SUMIFS(Tabela16[Value],Rub.M,'6.Other Exp. Categories'!I5)</f>
        <v>0</v>
      </c>
      <c r="L5" s="380"/>
      <c r="P5" s="169" t="e">
        <f>"ERRO! Excede em "&amp;IF('[3]1.Project identification'!D2="IC&amp;DT",250000,50000)-#REF!&amp;"€"</f>
        <v>#REF!</v>
      </c>
      <c r="T5" s="456" t="s">
        <v>20</v>
      </c>
      <c r="U5" s="450" t="str">
        <f>+'3.Tasks'!BK6</f>
        <v>N/A</v>
      </c>
      <c r="V5" s="451">
        <f ca="1">(SUMIFS(V.M,Tabela16[Task Nº],$U5,Tabela16[Institution**],V$2)+'5.Equipments'!AL23+'4.Team'!CK63)*Info!F$11</f>
        <v>0</v>
      </c>
      <c r="W5" s="451">
        <f>SUMIFS(V.M,Tabela16[Task Nº],$U5,Tabela16[Institution**],W$2)*Info!C10</f>
        <v>0</v>
      </c>
      <c r="X5" s="451">
        <f>SUMIFS(V.M,Tabela16[Task Nº],$U5,Tabela16[Institution**],X$2)*Info!C$10</f>
        <v>0</v>
      </c>
      <c r="Y5" s="451">
        <f>SUMIFS(V.M,Tabela16[Task Nº],$U5,Tabela16[Institution**],Y$2)*Info!C$10</f>
        <v>0</v>
      </c>
      <c r="Z5" s="451">
        <f>SUMIFS(V.M,Tabela16[Task Nº],$U5,Tabela16[Institution**],Z$2)*Info!C$10</f>
        <v>0</v>
      </c>
      <c r="AA5" s="451">
        <f>SUMIFS(V.M,Tabela16[Task Nº],$U5,Tabela16[Institution**],AA$2)*Info!C$10</f>
        <v>0</v>
      </c>
      <c r="AB5" s="451">
        <f>SUMIFS(V.M,Tabela16[Task Nº],$U5,Tabela16[Institution**],AB$2)*Info!C$10</f>
        <v>0</v>
      </c>
      <c r="AC5" s="451">
        <f>SUMIFS(V.M,Tabela16[Task Nº],$U5,Tabela16[Institution**],AC$2)*Info!C$10</f>
        <v>0</v>
      </c>
      <c r="AD5" s="451">
        <f>SUMIFS(V.M,Tabela16[Task Nº],$U5,Tabela16[Institution**],AD$2)*Info!C$10</f>
        <v>0</v>
      </c>
      <c r="AE5" s="451">
        <f>SUMIFS(V.M,Tabela16[Task Nº],$U5,Tabela16[Institution**],AE$2)*Info!C$10</f>
        <v>0</v>
      </c>
      <c r="AF5" s="451">
        <f>SUMIFS(V.M,Tabela16[Task Nº],$U5,Tabela16[Institution**],AF$2)*Info!C$10</f>
        <v>0</v>
      </c>
      <c r="AG5" s="451">
        <f t="shared" ca="1" si="0"/>
        <v>0</v>
      </c>
      <c r="AH5" s="110"/>
      <c r="AI5" s="110"/>
      <c r="AJ5" s="110"/>
      <c r="AK5" s="110"/>
      <c r="AL5" s="110"/>
    </row>
    <row r="6" spans="1:38" ht="17.2" customHeight="1">
      <c r="A6" s="373">
        <f t="shared" si="1"/>
        <v>4</v>
      </c>
      <c r="B6" s="374"/>
      <c r="C6" s="375"/>
      <c r="D6" s="475"/>
      <c r="E6" s="374"/>
      <c r="F6" s="374"/>
      <c r="G6" s="377" t="str">
        <f>IF(Tabela16[[#This Row],[Value]]="","",IF(Tabela16[[#This Row],[Institution**]]="","Alert: Fill in Institution",IF('[3]6.Other Exp. Categories'!$B6="M","Note: impute in DPD charging costs for presenting papers at conferences",IF('[3]6.Other Exp. Categories'!$B6="SC","Note: Impute in AQ? SC needs validation from FCiência.ID",IF('[3]6.Other Exp. Categories'!$B6="AE","Note: Limited to a maximum of 10% of the total eligible project expenses",IF(Tabela16[[#This Row],[Expense Category*]]="RH",P22,""))))))</f>
        <v/>
      </c>
      <c r="I6" s="381" t="s">
        <v>471</v>
      </c>
      <c r="J6" s="379">
        <f>+SUMIFS(Tabela16[Value],Tabela16[Institution**],'6.Other Exp. Categories'!J$2,Rub.M,'6.Other Exp. Categories'!I6)</f>
        <v>0</v>
      </c>
      <c r="K6" s="379">
        <f>+SUMIFS(Tabela16[Value],Rub.M,'6.Other Exp. Categories'!I6)</f>
        <v>0</v>
      </c>
      <c r="L6" s="380"/>
      <c r="P6" s="169" t="s">
        <v>875</v>
      </c>
      <c r="Q6" s="168">
        <f>IF('[3]1.Project identification'!D2="","Falta Preencher `Tipo de Projeto`na página DESCRIÇÃO",IF('[3]1.Project identification'!D2="Pex",50000,250000))</f>
        <v>250000</v>
      </c>
      <c r="R6" s="170"/>
      <c r="T6" s="456" t="s">
        <v>21</v>
      </c>
      <c r="U6" s="450" t="str">
        <f>+'3.Tasks'!BK7</f>
        <v>N/A</v>
      </c>
      <c r="V6" s="451">
        <f ca="1">(SUMIFS(V.M,Tabela16[Task Nº],$U6,Tabela16[Institution**],V$2)+'5.Equipments'!AM23+'4.Team'!CL63)*Info!F$11</f>
        <v>0</v>
      </c>
      <c r="W6" s="451">
        <f>SUMIFS(V.M,Tabela16[Task Nº],$U6,Tabela16[Institution**],W$2)*Info!C10</f>
        <v>0</v>
      </c>
      <c r="X6" s="451">
        <f>SUMIFS(V.M,Tabela16[Task Nº],$U6,Tabela16[Institution**],X$2)*Info!C$10</f>
        <v>0</v>
      </c>
      <c r="Y6" s="451">
        <f>SUMIFS(V.M,Tabela16[Task Nº],$U6,Tabela16[Institution**],Y$2)*Info!C$10</f>
        <v>0</v>
      </c>
      <c r="Z6" s="451">
        <f>SUMIFS(V.M,Tabela16[Task Nº],$U6,Tabela16[Institution**],Z$2)*Info!C$10</f>
        <v>0</v>
      </c>
      <c r="AA6" s="451">
        <f>SUMIFS(V.M,Tabela16[Task Nº],$U6,Tabela16[Institution**],AA$2)*Info!C$10</f>
        <v>0</v>
      </c>
      <c r="AB6" s="451">
        <f>SUMIFS(V.M,Tabela16[Task Nº],$U6,Tabela16[Institution**],AB$2)*Info!C$10</f>
        <v>0</v>
      </c>
      <c r="AC6" s="451">
        <f>SUMIFS(V.M,Tabela16[Task Nº],$U6,Tabela16[Institution**],AC$2)*Info!C$10</f>
        <v>0</v>
      </c>
      <c r="AD6" s="451">
        <f>SUMIFS(V.M,Tabela16[Task Nº],$U6,Tabela16[Institution**],AD$2)*Info!C$10</f>
        <v>0</v>
      </c>
      <c r="AE6" s="451">
        <f>SUMIFS(V.M,Tabela16[Task Nº],$U6,Tabela16[Institution**],AE$2)*Info!C$10</f>
        <v>0</v>
      </c>
      <c r="AF6" s="451">
        <f>SUMIFS(V.M,Tabela16[Task Nº],$U6,Tabela16[Institution**],AF$2)*Info!C$10</f>
        <v>0</v>
      </c>
      <c r="AG6" s="451">
        <f t="shared" ca="1" si="0"/>
        <v>0</v>
      </c>
      <c r="AH6" s="110"/>
      <c r="AI6" s="110"/>
      <c r="AJ6" s="110"/>
      <c r="AK6" s="110"/>
      <c r="AL6" s="110"/>
    </row>
    <row r="7" spans="1:38" ht="17.2" customHeight="1">
      <c r="A7" s="373">
        <f t="shared" si="1"/>
        <v>5</v>
      </c>
      <c r="B7" s="374"/>
      <c r="C7" s="375"/>
      <c r="D7" s="475"/>
      <c r="E7" s="374"/>
      <c r="F7" s="374"/>
      <c r="G7" s="377" t="str">
        <f>IF(Tabela16[[#This Row],[Value]]="","",IF(Tabela16[[#This Row],[Institution**]]="","Alert: Fill in Institution",IF('[3]6.Other Exp. Categories'!$B7="M","Note: impute in DPD charging costs for presenting papers at conferences",IF('[3]6.Other Exp. Categories'!$B7="SC","Note: Impute in AQ? SC needs validation from FCiência.ID",IF('[3]6.Other Exp. Categories'!$B7="AE","Note: Limited to a maximum of 10% of the total eligible project expenses",IF(Tabela16[[#This Row],[Expense Category*]]="RH",P23,""))))))</f>
        <v/>
      </c>
      <c r="I7" s="381" t="s">
        <v>43</v>
      </c>
      <c r="J7" s="379">
        <f>+SUMIFS(Tabela16[Value],Tabela16[Institution**],'6.Other Exp. Categories'!J$2,Rub.M,'6.Other Exp. Categories'!I7)</f>
        <v>0</v>
      </c>
      <c r="K7" s="379">
        <f>+SUMIFS(Tabela16[Value],Rub.M,'6.Other Exp. Categories'!I7)</f>
        <v>0</v>
      </c>
      <c r="L7" s="380"/>
      <c r="P7" s="169" t="s">
        <v>876</v>
      </c>
      <c r="Q7" s="168">
        <f>Q6*0.1</f>
        <v>25000</v>
      </c>
      <c r="R7" s="169" t="str">
        <f>P7&amp;Q7&amp;"€"</f>
        <v>Valor Máximo de AE: 25000€</v>
      </c>
      <c r="T7" s="456" t="s">
        <v>22</v>
      </c>
      <c r="U7" s="450" t="str">
        <f>+'3.Tasks'!BK8</f>
        <v>N/A</v>
      </c>
      <c r="V7" s="451">
        <f ca="1">(SUMIFS(V.M,Tabela16[Task Nº],$U7,Tabela16[Institution**],V$2)+'5.Equipments'!AN23+'4.Team'!CM63)*Info!F$11</f>
        <v>0</v>
      </c>
      <c r="W7" s="451">
        <f>SUMIFS(V.M,Tabela16[Task Nº],$U7,Tabela16[Institution**],W$2)*Info!C10</f>
        <v>0</v>
      </c>
      <c r="X7" s="451">
        <f>SUMIFS(V.M,Tabela16[Task Nº],$U7,Tabela16[Institution**],X$2)*Info!C$10</f>
        <v>0</v>
      </c>
      <c r="Y7" s="451">
        <f>SUMIFS(V.M,Tabela16[Task Nº],$U7,Tabela16[Institution**],Y$2)*Info!C$10</f>
        <v>0</v>
      </c>
      <c r="Z7" s="451">
        <f>SUMIFS(V.M,Tabela16[Task Nº],$U7,Tabela16[Institution**],Z$2)*Info!C$10</f>
        <v>0</v>
      </c>
      <c r="AA7" s="451">
        <f>SUMIFS(V.M,Tabela16[Task Nº],$U7,Tabela16[Institution**],AA$2)*Info!C$10</f>
        <v>0</v>
      </c>
      <c r="AB7" s="451">
        <f>SUMIFS(V.M,Tabela16[Task Nº],$U7,Tabela16[Institution**],AB$2)*Info!C$10</f>
        <v>0</v>
      </c>
      <c r="AC7" s="451">
        <f>SUMIFS(V.M,Tabela16[Task Nº],$U7,Tabela16[Institution**],AC$2)*Info!C$10</f>
        <v>0</v>
      </c>
      <c r="AD7" s="451">
        <f>SUMIFS(V.M,Tabela16[Task Nº],$U7,Tabela16[Institution**],AD$2)*Info!C$10</f>
        <v>0</v>
      </c>
      <c r="AE7" s="451">
        <f>SUMIFS(V.M,Tabela16[Task Nº],$U7,Tabela16[Institution**],AE$2)*Info!C$10</f>
        <v>0</v>
      </c>
      <c r="AF7" s="451">
        <f>SUMIFS(V.M,Tabela16[Task Nº],$U7,Tabela16[Institution**],AF$2)*Info!C$10</f>
        <v>0</v>
      </c>
      <c r="AG7" s="451">
        <f t="shared" ca="1" si="0"/>
        <v>0</v>
      </c>
      <c r="AH7" s="110"/>
      <c r="AI7" s="110"/>
      <c r="AJ7" s="110"/>
      <c r="AK7" s="110"/>
      <c r="AL7" s="110"/>
    </row>
    <row r="8" spans="1:38" ht="17.2" customHeight="1">
      <c r="A8" s="373">
        <f t="shared" si="1"/>
        <v>6</v>
      </c>
      <c r="B8" s="374"/>
      <c r="C8" s="375"/>
      <c r="D8" s="475"/>
      <c r="E8" s="374"/>
      <c r="F8" s="374"/>
      <c r="G8" s="377" t="str">
        <f>IF(Tabela16[[#This Row],[Value]]="","",IF(Tabela16[[#This Row],[Institution**]]="","Alert: Fill in Institution",IF('[3]6.Other Exp. Categories'!$B8="M","Note: impute in DPD charging costs for presenting papers at conferences",IF('[3]6.Other Exp. Categories'!$B8="SC","Note: Impute in AQ? SC needs validation from FCiência.ID",IF('[3]6.Other Exp. Categories'!$B8="AE","Note: Limited to a maximum of 10% of the total eligible project expenses",IF(Tabela16[[#This Row],[Expense Category*]]="RH",P24,""))))))</f>
        <v/>
      </c>
      <c r="I8" s="381" t="s">
        <v>42</v>
      </c>
      <c r="J8" s="379">
        <f>+SUMIFS(Tabela16[Value],Tabela16[Institution**],'6.Other Exp. Categories'!J$2,Rub.M,'6.Other Exp. Categories'!I8)</f>
        <v>0</v>
      </c>
      <c r="K8" s="379">
        <f>+SUMIFS(Tabela16[Value],Rub.M,'6.Other Exp. Categories'!I8)</f>
        <v>0</v>
      </c>
      <c r="L8" s="380" t="str">
        <f>IF(K8=0,"Maximum advised = 10% of Total Budget",IF(K8&gt;K12*10%,P8,"CORRECT!"))</f>
        <v>Maximum advised = 10% of Total Budget</v>
      </c>
      <c r="P8" s="169" t="s">
        <v>877</v>
      </c>
      <c r="Q8" s="169" t="s">
        <v>878</v>
      </c>
      <c r="R8" s="169" t="e">
        <f>+#REF!*10%</f>
        <v>#REF!</v>
      </c>
      <c r="T8" s="456" t="s">
        <v>23</v>
      </c>
      <c r="U8" s="450" t="str">
        <f>+'3.Tasks'!BK9</f>
        <v>N/A</v>
      </c>
      <c r="V8" s="451">
        <f ca="1">(SUMIFS(V.M,Tabela16[Task Nº],$U8,Tabela16[Institution**],V$2)+'5.Equipments'!AO23+'4.Team'!CN63)*Info!F$11</f>
        <v>0</v>
      </c>
      <c r="W8" s="451">
        <f>SUMIFS(V.M,Tabela16[Task Nº],$U8,Tabela16[Institution**],W$2)*Info!C10</f>
        <v>0</v>
      </c>
      <c r="X8" s="451">
        <f>SUMIFS(V.M,Tabela16[Task Nº],$U8,Tabela16[Institution**],X$2)*Info!C$10</f>
        <v>0</v>
      </c>
      <c r="Y8" s="451">
        <f>SUMIFS(V.M,Tabela16[Task Nº],$U8,Tabela16[Institution**],Y$2)*Info!C$10</f>
        <v>0</v>
      </c>
      <c r="Z8" s="451">
        <f>SUMIFS(V.M,Tabela16[Task Nº],$U8,Tabela16[Institution**],Z$2)*Info!C$10</f>
        <v>0</v>
      </c>
      <c r="AA8" s="451">
        <f>SUMIFS(V.M,Tabela16[Task Nº],$U8,Tabela16[Institution**],AA$2)*Info!C$10</f>
        <v>0</v>
      </c>
      <c r="AB8" s="451">
        <f>SUMIFS(V.M,Tabela16[Task Nº],$U8,Tabela16[Institution**],AB$2)*Info!C$10</f>
        <v>0</v>
      </c>
      <c r="AC8" s="451">
        <f>SUMIFS(V.M,Tabela16[Task Nº],$U8,Tabela16[Institution**],AC$2)*Info!C$10</f>
        <v>0</v>
      </c>
      <c r="AD8" s="451">
        <f>SUMIFS(V.M,Tabela16[Task Nº],$U8,Tabela16[Institution**],AD$2)*Info!C$10</f>
        <v>0</v>
      </c>
      <c r="AE8" s="451">
        <f>SUMIFS(V.M,Tabela16[Task Nº],$U8,Tabela16[Institution**],AE$2)*Info!C$10</f>
        <v>0</v>
      </c>
      <c r="AF8" s="451">
        <f>SUMIFS(V.M,Tabela16[Task Nº],$U8,Tabela16[Institution**],AF$2)*Info!C$10</f>
        <v>0</v>
      </c>
      <c r="AG8" s="451">
        <f t="shared" ca="1" si="0"/>
        <v>0</v>
      </c>
      <c r="AH8" s="110"/>
      <c r="AI8" s="110"/>
      <c r="AJ8" s="110"/>
      <c r="AK8" s="110"/>
      <c r="AL8" s="110"/>
    </row>
    <row r="9" spans="1:38" ht="17.2" customHeight="1">
      <c r="A9" s="373">
        <f t="shared" si="1"/>
        <v>7</v>
      </c>
      <c r="B9" s="374"/>
      <c r="C9" s="375"/>
      <c r="D9" s="475"/>
      <c r="E9" s="374"/>
      <c r="F9" s="374"/>
      <c r="G9" s="377" t="str">
        <f>IF(Tabela16[[#This Row],[Value]]="","",IF(Tabela16[[#This Row],[Institution**]]="","Alert: Fill in Institution",IF('[3]6.Other Exp. Categories'!$B9="M","Note: impute in DPD charging costs for presenting papers at conferences",IF('[3]6.Other Exp. Categories'!$B9="SC","Note: Impute in AQ? SC needs validation from FCiência.ID",IF('[3]6.Other Exp. Categories'!$B9="AE","Note: Limited to a maximum of 10% of the total eligible project expenses",IF(Tabela16[[#This Row],[Expense Category*]]="RH",P25,""))))))</f>
        <v/>
      </c>
      <c r="I9" s="381" t="s">
        <v>41</v>
      </c>
      <c r="J9" s="379">
        <f>+SUMIFS(Tabela16[Value],Tabela16[Institution**],'6.Other Exp. Categories'!J$2,Rub.M,'6.Other Exp. Categories'!I9)+'5.Equipments'!AG23</f>
        <v>0</v>
      </c>
      <c r="K9" s="379">
        <f>+SUMIFS(Tabela16[Value],Rub.M,'6.Other Exp. Categories'!I9)+'5.Equipments'!AG23</f>
        <v>0</v>
      </c>
      <c r="L9" s="380"/>
      <c r="Q9" s="169" t="s">
        <v>879</v>
      </c>
      <c r="R9" s="169" t="e">
        <f>+#REF!*10%</f>
        <v>#REF!</v>
      </c>
      <c r="T9" s="456" t="s">
        <v>24</v>
      </c>
      <c r="U9" s="450" t="str">
        <f>+'3.Tasks'!BK10</f>
        <v>N/A</v>
      </c>
      <c r="V9" s="451">
        <f ca="1">(SUMIFS(V.M,Tabela16[Task Nº],$U9,Tabela16[Institution**],V$2)+'5.Equipments'!AP23+'4.Team'!CO63)*Info!F$11</f>
        <v>0</v>
      </c>
      <c r="W9" s="451">
        <f>SUMIFS(V.M,Tabela16[Task Nº],$U9,Tabela16[Institution**],W$2)*Info!C10</f>
        <v>0</v>
      </c>
      <c r="X9" s="451">
        <f>SUMIFS(V.M,Tabela16[Task Nº],$U9,Tabela16[Institution**],X$2)*Info!C$10</f>
        <v>0</v>
      </c>
      <c r="Y9" s="451">
        <f>SUMIFS(V.M,Tabela16[Task Nº],$U9,Tabela16[Institution**],Y$2)*Info!C$10</f>
        <v>0</v>
      </c>
      <c r="Z9" s="451">
        <f>SUMIFS(V.M,Tabela16[Task Nº],$U9,Tabela16[Institution**],Z$2)*Info!C$10</f>
        <v>0</v>
      </c>
      <c r="AA9" s="451">
        <f>SUMIFS(V.M,Tabela16[Task Nº],$U9,Tabela16[Institution**],AA$2)*Info!C$10</f>
        <v>0</v>
      </c>
      <c r="AB9" s="451">
        <f>SUMIFS(V.M,Tabela16[Task Nº],$U9,Tabela16[Institution**],AB$2)*Info!C$10</f>
        <v>0</v>
      </c>
      <c r="AC9" s="451">
        <f>SUMIFS(V.M,Tabela16[Task Nº],$U9,Tabela16[Institution**],AC$2)*Info!C$10</f>
        <v>0</v>
      </c>
      <c r="AD9" s="451">
        <f>SUMIFS(V.M,Tabela16[Task Nº],$U9,Tabela16[Institution**],AD$2)*Info!C$10</f>
        <v>0</v>
      </c>
      <c r="AE9" s="451">
        <f>SUMIFS(V.M,Tabela16[Task Nº],$U9,Tabela16[Institution**],AE$2)*Info!C$10</f>
        <v>0</v>
      </c>
      <c r="AF9" s="451">
        <f>SUMIFS(V.M,Tabela16[Task Nº],$U9,Tabela16[Institution**],AF$2)*Info!C$10</f>
        <v>0</v>
      </c>
      <c r="AG9" s="451">
        <f t="shared" ca="1" si="0"/>
        <v>0</v>
      </c>
      <c r="AH9" s="110"/>
      <c r="AI9" s="110"/>
      <c r="AJ9" s="110"/>
      <c r="AK9" s="110"/>
      <c r="AL9" s="110"/>
    </row>
    <row r="10" spans="1:38" ht="17.2" customHeight="1">
      <c r="A10" s="373">
        <f t="shared" si="1"/>
        <v>8</v>
      </c>
      <c r="B10" s="374"/>
      <c r="C10" s="375"/>
      <c r="D10" s="475"/>
      <c r="E10" s="374"/>
      <c r="F10" s="374"/>
      <c r="G10" s="377" t="str">
        <f>IF(Tabela16[[#This Row],[Value]]="","",IF(Tabela16[[#This Row],[Institution**]]="","Alert: Fill in Institution",IF('[3]6.Other Exp. Categories'!$B10="M","Note: impute in DPD charging costs for presenting papers at conferences",IF('[3]6.Other Exp. Categories'!$B10="SC","Note: Impute in AQ? SC needs validation from FCiência.ID",IF('[3]6.Other Exp. Categories'!$B10="AE","Note: Limited to a maximum of 10% of the total eligible project expenses",IF(Tabela16[[#This Row],[Expense Category*]]="RH",P26,""))))))</f>
        <v/>
      </c>
      <c r="I10" s="381" t="s">
        <v>47</v>
      </c>
      <c r="J10" s="379">
        <f>+SUMIFS(Tabela16[Value],Tabela16[Institution**],'6.Other Exp. Categories'!J$2,Rub.M,'6.Other Exp. Categories'!I10)</f>
        <v>0</v>
      </c>
      <c r="K10" s="379">
        <f>+SUMIFS(Tabela16[Value],Rub.M,'6.Other Exp. Categories'!I10)</f>
        <v>0</v>
      </c>
      <c r="L10" s="380"/>
      <c r="T10" s="456" t="s">
        <v>25</v>
      </c>
      <c r="U10" s="450" t="str">
        <f>+'3.Tasks'!BK11</f>
        <v>N/A</v>
      </c>
      <c r="V10" s="451">
        <f ca="1">(SUMIFS(V.M,Tabela16[Task Nº],$U10,Tabela16[Institution**],V$2)+'5.Equipments'!AQ23+'4.Team'!CP63)*Info!F$11</f>
        <v>0</v>
      </c>
      <c r="W10" s="451">
        <f>SUMIFS(V.M,Tabela16[Task Nº],$U10,Tabela16[Institution**],W$2)*Info!C10</f>
        <v>0</v>
      </c>
      <c r="X10" s="451">
        <f>SUMIFS(V.M,Tabela16[Task Nº],$U10,Tabela16[Institution**],X$2)*Info!C$10</f>
        <v>0</v>
      </c>
      <c r="Y10" s="451">
        <f>SUMIFS(V.M,Tabela16[Task Nº],$U10,Tabela16[Institution**],Y$2)*Info!C$10</f>
        <v>0</v>
      </c>
      <c r="Z10" s="451">
        <f>SUMIFS(V.M,Tabela16[Task Nº],$U10,Tabela16[Institution**],Z$2)*Info!C$10</f>
        <v>0</v>
      </c>
      <c r="AA10" s="451">
        <f>SUMIFS(V.M,Tabela16[Task Nº],$U10,Tabela16[Institution**],AA$2)*Info!C$10</f>
        <v>0</v>
      </c>
      <c r="AB10" s="451">
        <f>SUMIFS(V.M,Tabela16[Task Nº],$U10,Tabela16[Institution**],AB$2)*Info!C$10</f>
        <v>0</v>
      </c>
      <c r="AC10" s="451">
        <f>SUMIFS(V.M,Tabela16[Task Nº],$U10,Tabela16[Institution**],AC$2)*Info!C$10</f>
        <v>0</v>
      </c>
      <c r="AD10" s="451">
        <f>SUMIFS(V.M,Tabela16[Task Nº],$U10,Tabela16[Institution**],AD$2)*Info!C$10</f>
        <v>0</v>
      </c>
      <c r="AE10" s="451">
        <f>SUMIFS(V.M,Tabela16[Task Nº],$U10,Tabela16[Institution**],AE$2)*Info!C$10</f>
        <v>0</v>
      </c>
      <c r="AF10" s="451">
        <f>SUMIFS(V.M,Tabela16[Task Nº],$U10,Tabela16[Institution**],AF$2)*Info!C$10</f>
        <v>0</v>
      </c>
      <c r="AG10" s="451">
        <f t="shared" ca="1" si="0"/>
        <v>0</v>
      </c>
      <c r="AH10" s="110"/>
      <c r="AI10" s="110"/>
      <c r="AJ10" s="110"/>
      <c r="AK10" s="110"/>
      <c r="AL10" s="110"/>
    </row>
    <row r="11" spans="1:38" ht="17.2" customHeight="1" thickBot="1">
      <c r="A11" s="373">
        <f t="shared" si="1"/>
        <v>9</v>
      </c>
      <c r="B11" s="374"/>
      <c r="C11" s="375"/>
      <c r="D11" s="475"/>
      <c r="E11" s="374"/>
      <c r="F11" s="374"/>
      <c r="G11" s="377" t="str">
        <f>IF(Tabela16[[#This Row],[Value]]="","",IF(Tabela16[[#This Row],[Institution**]]="","Alert: Fill in Institution",IF('[3]6.Other Exp. Categories'!$B11="M","Note: impute in DPD charging costs for presenting papers at conferences",IF('[3]6.Other Exp. Categories'!$B11="SC","Note: Impute in AQ? SC needs validation from FCiência.ID",IF('[3]6.Other Exp. Categories'!$B11="AE","Note: Limited to a maximum of 10% of the total eligible project expenses",IF(Tabela16[[#This Row],[Expense Category*]]="RH",P27,""))))))</f>
        <v/>
      </c>
      <c r="I11" s="382" t="s">
        <v>880</v>
      </c>
      <c r="J11" s="379" t="e">
        <f ca="1">SUM(J3:J9)*0.25</f>
        <v>#N/A</v>
      </c>
      <c r="K11" s="379" t="e">
        <f ca="1">SUM(K3:K9)*0.25</f>
        <v>#N/A</v>
      </c>
      <c r="L11" s="383"/>
      <c r="R11" s="169" t="s">
        <v>881</v>
      </c>
      <c r="T11" s="456" t="s">
        <v>26</v>
      </c>
      <c r="U11" s="450" t="str">
        <f>+'3.Tasks'!BK12</f>
        <v>N/A</v>
      </c>
      <c r="V11" s="451">
        <f ca="1">(SUMIFS(V.M,Tabela16[Task Nº],$U11,Tabela16[Institution**],V$2)+'5.Equipments'!AR23+'4.Team'!CQ63)*Info!F$11</f>
        <v>0</v>
      </c>
      <c r="W11" s="451">
        <f>SUMIFS(V.M,Tabela16[Task Nº],$U11,Tabela16[Institution**],W$2)*Info!C10</f>
        <v>0</v>
      </c>
      <c r="X11" s="451">
        <f>SUMIFS(V.M,Tabela16[Task Nº],$U11,Tabela16[Institution**],X$2)*Info!C$10</f>
        <v>0</v>
      </c>
      <c r="Y11" s="451">
        <f>SUMIFS(V.M,Tabela16[Task Nº],$U11,Tabela16[Institution**],Y$2)*Info!C$10</f>
        <v>0</v>
      </c>
      <c r="Z11" s="451">
        <f>SUMIFS(V.M,Tabela16[Task Nº],$U11,Tabela16[Institution**],Z$2)*Info!C$10</f>
        <v>0</v>
      </c>
      <c r="AA11" s="451">
        <f>SUMIFS(V.M,Tabela16[Task Nº],$U11,Tabela16[Institution**],AA$2)*Info!C$10</f>
        <v>0</v>
      </c>
      <c r="AB11" s="451">
        <f>SUMIFS(V.M,Tabela16[Task Nº],$U11,Tabela16[Institution**],AB$2)*Info!C$10</f>
        <v>0</v>
      </c>
      <c r="AC11" s="451">
        <f>SUMIFS(V.M,Tabela16[Task Nº],$U11,Tabela16[Institution**],AC$2)*Info!C$10</f>
        <v>0</v>
      </c>
      <c r="AD11" s="451">
        <f>SUMIFS(V.M,Tabela16[Task Nº],$U11,Tabela16[Institution**],AD$2)*Info!C$10</f>
        <v>0</v>
      </c>
      <c r="AE11" s="451">
        <f>SUMIFS(V.M,Tabela16[Task Nº],$U11,Tabela16[Institution**],AE$2)*Info!C$10</f>
        <v>0</v>
      </c>
      <c r="AF11" s="451">
        <f>SUMIFS(V.M,Tabela16[Task Nº],$U11,Tabela16[Institution**],AF$2)*Info!C$10</f>
        <v>0</v>
      </c>
      <c r="AG11" s="451">
        <f t="shared" ca="1" si="0"/>
        <v>0</v>
      </c>
      <c r="AH11" s="110"/>
      <c r="AI11" s="110"/>
      <c r="AJ11" s="110"/>
      <c r="AK11" s="110"/>
      <c r="AL11" s="110"/>
    </row>
    <row r="12" spans="1:38" ht="17.2" customHeight="1" thickTop="1" thickBot="1">
      <c r="A12" s="373">
        <f t="shared" si="1"/>
        <v>10</v>
      </c>
      <c r="B12" s="374"/>
      <c r="C12" s="375"/>
      <c r="D12" s="475"/>
      <c r="E12" s="374"/>
      <c r="F12" s="374"/>
      <c r="G12" s="377" t="str">
        <f>IF(Tabela16[[#This Row],[Value]]="","",IF(Tabela16[[#This Row],[Institution**]]="","Alert: Fill in Institution",IF('[3]6.Other Exp. Categories'!$B12="M","Note: impute in DPD charging costs for presenting papers at conferences",IF('[3]6.Other Exp. Categories'!$B12="SC","Note: Impute in AQ? SC needs validation from FCiência.ID",IF('[3]6.Other Exp. Categories'!$B12="AE","Note: Limited to a maximum of 10% of the total eligible project expenses",IF(Tabela16[[#This Row],[Expense Category*]]="RH",P28,""))))))</f>
        <v/>
      </c>
      <c r="I12" s="384" t="s">
        <v>45</v>
      </c>
      <c r="J12" s="385" t="e">
        <f ca="1">SUM(J3:J11)</f>
        <v>#N/A</v>
      </c>
      <c r="K12" s="386" t="e">
        <f ca="1">SUM(K3:K11)</f>
        <v>#N/A</v>
      </c>
      <c r="L12" s="387"/>
      <c r="P12" s="169" t="e">
        <f>IF(#REF!=0,"Máximo = 10% Orçamento",IF(#REF!&gt;#REF!*10%,P8,"COPRRECTO!"))</f>
        <v>#REF!</v>
      </c>
      <c r="T12" s="456" t="s">
        <v>27</v>
      </c>
      <c r="U12" s="450" t="str">
        <f>+'3.Tasks'!BK13</f>
        <v>N/A</v>
      </c>
      <c r="V12" s="451">
        <f ca="1">(SUMIFS(V.M,Tabela16[Task Nº],$U12,Tabela16[Institution**],V$2)+'5.Equipments'!AS23+'4.Team'!CR63)*Info!F$11</f>
        <v>0</v>
      </c>
      <c r="W12" s="451">
        <f>SUMIFS(V.M,Tabela16[Task Nº],$U12,Tabela16[Institution**],W$2)*Info!C10</f>
        <v>0</v>
      </c>
      <c r="X12" s="451">
        <f>SUMIFS(V.M,Tabela16[Task Nº],$U12,Tabela16[Institution**],X$2)*Info!C$10</f>
        <v>0</v>
      </c>
      <c r="Y12" s="451">
        <f>SUMIFS(V.M,Tabela16[Task Nº],$U12,Tabela16[Institution**],Y$2)*Info!C$10</f>
        <v>0</v>
      </c>
      <c r="Z12" s="451">
        <f>SUMIFS(V.M,Tabela16[Task Nº],$U12,Tabela16[Institution**],Z$2)*Info!C$10</f>
        <v>0</v>
      </c>
      <c r="AA12" s="451">
        <f>SUMIFS(V.M,Tabela16[Task Nº],$U12,Tabela16[Institution**],AA$2)*Info!C$10</f>
        <v>0</v>
      </c>
      <c r="AB12" s="451">
        <f>SUMIFS(V.M,Tabela16[Task Nº],$U12,Tabela16[Institution**],AB$2)*Info!C$10</f>
        <v>0</v>
      </c>
      <c r="AC12" s="451">
        <f>SUMIFS(V.M,Tabela16[Task Nº],$U12,Tabela16[Institution**],AC$2)*Info!C$10</f>
        <v>0</v>
      </c>
      <c r="AD12" s="451">
        <f>SUMIFS(V.M,Tabela16[Task Nº],$U12,Tabela16[Institution**],AD$2)*Info!C$10</f>
        <v>0</v>
      </c>
      <c r="AE12" s="451">
        <f>SUMIFS(V.M,Tabela16[Task Nº],$U12,Tabela16[Institution**],AE$2)*Info!C$10</f>
        <v>0</v>
      </c>
      <c r="AF12" s="451">
        <f>SUMIFS(V.M,Tabela16[Task Nº],$U12,Tabela16[Institution**],AF$2)*Info!C$10</f>
        <v>0</v>
      </c>
      <c r="AG12" s="451">
        <f t="shared" ca="1" si="0"/>
        <v>0</v>
      </c>
      <c r="AH12" s="110"/>
      <c r="AI12" s="110"/>
      <c r="AJ12" s="110"/>
      <c r="AK12" s="110"/>
      <c r="AL12" s="110"/>
    </row>
    <row r="13" spans="1:38" ht="17.2" customHeight="1" thickTop="1" thickBot="1">
      <c r="A13" s="373">
        <f t="shared" si="1"/>
        <v>11</v>
      </c>
      <c r="B13" s="374"/>
      <c r="C13" s="375"/>
      <c r="D13" s="475"/>
      <c r="E13" s="374"/>
      <c r="F13" s="374"/>
      <c r="G13" s="377" t="str">
        <f>IF(Tabela16[[#This Row],[Value]]="","",IF(Tabela16[[#This Row],[Institution**]]="","Alert: Fill in Institution",IF('[3]6.Other Exp. Categories'!$B13="M","Note: impute in DPD charging costs for presenting papers at conferences",IF('[3]6.Other Exp. Categories'!$B13="SC","Note: Impute in AQ? SC needs validation from FCiência.ID",IF('[3]6.Other Exp. Categories'!$B13="AE","Note: Limited to a maximum of 10% of the total eligible project expenses",IF(Tabela16[[#This Row],[Expense Category*]]="RH",P29,""))))))</f>
        <v/>
      </c>
      <c r="I13" s="809" t="s">
        <v>882</v>
      </c>
      <c r="J13" s="810"/>
      <c r="K13" s="810"/>
      <c r="L13" s="388" t="e">
        <f ca="1">'1.G.Data'!K7/(1+Info!B8)-K10-K9-K8-K7-K6-K5-K4-K3</f>
        <v>#VALUE!</v>
      </c>
      <c r="P13" s="169" t="e">
        <f>IF(#REF!&gt;R9,R11,"COPRRECTO!")</f>
        <v>#REF!</v>
      </c>
      <c r="T13" s="456" t="s">
        <v>28</v>
      </c>
      <c r="U13" s="450" t="str">
        <f>+'3.Tasks'!BK14</f>
        <v>N/A</v>
      </c>
      <c r="V13" s="451">
        <f ca="1">(SUMIFS(V.M,Tabela16[Task Nº],$U13,Tabela16[Institution**],V$2)+'5.Equipments'!AT23+'4.Team'!CS63)*Info!F$11</f>
        <v>0</v>
      </c>
      <c r="W13" s="451">
        <f>SUMIFS(V.M,Tabela16[Task Nº],$U13,Tabela16[Institution**],W$2)*Info!C10</f>
        <v>0</v>
      </c>
      <c r="X13" s="451">
        <f>SUMIFS(V.M,Tabela16[Task Nº],$U13,Tabela16[Institution**],X$2)*Info!C$10</f>
        <v>0</v>
      </c>
      <c r="Y13" s="451">
        <f>SUMIFS(V.M,Tabela16[Task Nº],$U13,Tabela16[Institution**],Y$2)*Info!C$10</f>
        <v>0</v>
      </c>
      <c r="Z13" s="451">
        <f>SUMIFS(V.M,Tabela16[Task Nº],$U13,Tabela16[Institution**],Z$2)*Info!C$10</f>
        <v>0</v>
      </c>
      <c r="AA13" s="451">
        <f>SUMIFS(V.M,Tabela16[Task Nº],$U13,Tabela16[Institution**],AA$2)*Info!C$10</f>
        <v>0</v>
      </c>
      <c r="AB13" s="451">
        <f>SUMIFS(V.M,Tabela16[Task Nº],$U13,Tabela16[Institution**],AB$2)*Info!C$10</f>
        <v>0</v>
      </c>
      <c r="AC13" s="451">
        <f>SUMIFS(V.M,Tabela16[Task Nº],$U13,Tabela16[Institution**],AC$2)*Info!C$10</f>
        <v>0</v>
      </c>
      <c r="AD13" s="451">
        <f>SUMIFS(V.M,Tabela16[Task Nº],$U13,Tabela16[Institution**],AD$2)*Info!C$10</f>
        <v>0</v>
      </c>
      <c r="AE13" s="451">
        <f>SUMIFS(V.M,Tabela16[Task Nº],$U13,Tabela16[Institution**],AE$2)*Info!C$10</f>
        <v>0</v>
      </c>
      <c r="AF13" s="451">
        <f>SUMIFS(V.M,Tabela16[Task Nº],$U13,Tabela16[Institution**],AF$2)*Info!C$10</f>
        <v>0</v>
      </c>
      <c r="AG13" s="451">
        <f t="shared" ca="1" si="0"/>
        <v>0</v>
      </c>
      <c r="AH13" s="110"/>
      <c r="AI13" s="110"/>
      <c r="AJ13" s="110"/>
      <c r="AK13" s="110"/>
      <c r="AL13" s="110"/>
    </row>
    <row r="14" spans="1:38" ht="17.2" customHeight="1" thickTop="1">
      <c r="A14" s="373">
        <f t="shared" si="1"/>
        <v>12</v>
      </c>
      <c r="B14" s="374"/>
      <c r="C14" s="375"/>
      <c r="D14" s="475"/>
      <c r="E14" s="374"/>
      <c r="F14" s="374"/>
      <c r="G14" s="377" t="str">
        <f>IF(Tabela16[[#This Row],[Value]]="","",IF(Tabela16[[#This Row],[Institution**]]="","Alert: Fill in Institution",IF('[3]6.Other Exp. Categories'!$B14="M","Note: impute in DPD charging costs for presenting papers at conferences",IF('[3]6.Other Exp. Categories'!$B14="SC","Note: Impute in AQ? SC needs validation from FCiência.ID",IF('[3]6.Other Exp. Categories'!$B14="AE","Note: Limited to a maximum of 10% of the total eligible project expenses",IF(Tabela16[[#This Row],[Expense Category*]]="RH",P30,""))))))</f>
        <v/>
      </c>
      <c r="T14" s="456" t="s">
        <v>29</v>
      </c>
      <c r="U14" s="450" t="str">
        <f>+'3.Tasks'!BK15</f>
        <v>N/A</v>
      </c>
      <c r="V14" s="451">
        <f ca="1">(SUMIFS(V.M,Tabela16[Task Nº],$U14,Tabela16[Institution**],V$2)+'5.Equipments'!AU23+'4.Team'!CT63)*Info!F$11</f>
        <v>0</v>
      </c>
      <c r="W14" s="451">
        <f>SUMIFS(V.M,Tabela16[Task Nº],$U14,Tabela16[Institution**],W$2)*Info!C10</f>
        <v>0</v>
      </c>
      <c r="X14" s="451">
        <f>SUMIFS(V.M,Tabela16[Task Nº],$U14,Tabela16[Institution**],X$2)*Info!C$10</f>
        <v>0</v>
      </c>
      <c r="Y14" s="451">
        <f>SUMIFS(V.M,Tabela16[Task Nº],$U14,Tabela16[Institution**],Y$2)*Info!C$10</f>
        <v>0</v>
      </c>
      <c r="Z14" s="451">
        <f>SUMIFS(V.M,Tabela16[Task Nº],$U14,Tabela16[Institution**],Z$2)*Info!C$10</f>
        <v>0</v>
      </c>
      <c r="AA14" s="451">
        <f>SUMIFS(V.M,Tabela16[Task Nº],$U14,Tabela16[Institution**],AA$2)*Info!C$10</f>
        <v>0</v>
      </c>
      <c r="AB14" s="451">
        <f>SUMIFS(V.M,Tabela16[Task Nº],$U14,Tabela16[Institution**],AB$2)*Info!C$10</f>
        <v>0</v>
      </c>
      <c r="AC14" s="451">
        <f>SUMIFS(V.M,Tabela16[Task Nº],$U14,Tabela16[Institution**],AC$2)*Info!C$10</f>
        <v>0</v>
      </c>
      <c r="AD14" s="451">
        <f>SUMIFS(V.M,Tabela16[Task Nº],$U14,Tabela16[Institution**],AD$2)*Info!C$10</f>
        <v>0</v>
      </c>
      <c r="AE14" s="451">
        <f>SUMIFS(V.M,Tabela16[Task Nº],$U14,Tabela16[Institution**],AE$2)*Info!C$10</f>
        <v>0</v>
      </c>
      <c r="AF14" s="451">
        <f>SUMIFS(V.M,Tabela16[Task Nº],$U14,Tabela16[Institution**],AF$2)*Info!C$10</f>
        <v>0</v>
      </c>
      <c r="AG14" s="451">
        <f t="shared" ca="1" si="0"/>
        <v>0</v>
      </c>
      <c r="AH14" s="110"/>
      <c r="AI14" s="110"/>
      <c r="AJ14" s="110"/>
      <c r="AK14" s="110"/>
      <c r="AL14" s="110"/>
    </row>
    <row r="15" spans="1:38" ht="17.2" customHeight="1">
      <c r="A15" s="373">
        <f t="shared" si="1"/>
        <v>13</v>
      </c>
      <c r="B15" s="374"/>
      <c r="C15" s="375"/>
      <c r="D15" s="475"/>
      <c r="E15" s="374"/>
      <c r="F15" s="374"/>
      <c r="G15" s="377" t="str">
        <f>IF(Tabela16[[#This Row],[Value]]="","",IF(Tabela16[[#This Row],[Institution**]]="","Alert: Fill in Institution",IF('[3]6.Other Exp. Categories'!$B15="M","Note: impute in DPD charging costs for presenting papers at conferences",IF('[3]6.Other Exp. Categories'!$B15="SC","Note: Impute in AQ? SC needs validation from FCiência.ID",IF('[3]6.Other Exp. Categories'!$B15="AE","Note: Limited to a maximum of 10% of the total eligible project expenses",IF(Tabela16[[#This Row],[Expense Category*]]="RH",P31,""))))))</f>
        <v/>
      </c>
      <c r="I15" s="795" t="s">
        <v>887</v>
      </c>
      <c r="J15" s="795"/>
      <c r="K15" s="395" t="e">
        <f ca="1">J11-((J3+J4+J5+J6+J7+J8+J9+J10)*0.25)</f>
        <v>#N/A</v>
      </c>
      <c r="T15" s="456" t="s">
        <v>30</v>
      </c>
      <c r="U15" s="450" t="str">
        <f>+'3.Tasks'!BK16</f>
        <v>N/A</v>
      </c>
      <c r="V15" s="451">
        <f ca="1">(SUMIFS(V.M,Tabela16[Task Nº],$U15,Tabela16[Institution**],V$2)+'5.Equipments'!AV23+'4.Team'!CU63)*Info!F$11</f>
        <v>0</v>
      </c>
      <c r="W15" s="451">
        <f>SUMIFS(V.M,Tabela16[Task Nº],$U15,Tabela16[Institution**],W$2)*Info!C10</f>
        <v>0</v>
      </c>
      <c r="X15" s="451">
        <f>SUMIFS(V.M,Tabela16[Task Nº],$U15,Tabela16[Institution**],X$2)*Info!C$10</f>
        <v>0</v>
      </c>
      <c r="Y15" s="451">
        <f>SUMIFS(V.M,Tabela16[Task Nº],$U15,Tabela16[Institution**],Y$2)*Info!C$10</f>
        <v>0</v>
      </c>
      <c r="Z15" s="451">
        <f>SUMIFS(V.M,Tabela16[Task Nº],$U15,Tabela16[Institution**],Z$2)*Info!C$10</f>
        <v>0</v>
      </c>
      <c r="AA15" s="451">
        <f>SUMIFS(V.M,Tabela16[Task Nº],$U15,Tabela16[Institution**],AA$2)*Info!C$10</f>
        <v>0</v>
      </c>
      <c r="AB15" s="451">
        <f>SUMIFS(V.M,Tabela16[Task Nº],$U15,Tabela16[Institution**],AB$2)*Info!C$10</f>
        <v>0</v>
      </c>
      <c r="AC15" s="451">
        <f>SUMIFS(V.M,Tabela16[Task Nº],$U15,Tabela16[Institution**],AC$2)*Info!C$10</f>
        <v>0</v>
      </c>
      <c r="AD15" s="451">
        <f>SUMIFS(V.M,Tabela16[Task Nº],$U15,Tabela16[Institution**],AD$2)*Info!C$10</f>
        <v>0</v>
      </c>
      <c r="AE15" s="451">
        <f>SUMIFS(V.M,Tabela16[Task Nº],$U15,Tabela16[Institution**],AE$2)*Info!C$10</f>
        <v>0</v>
      </c>
      <c r="AF15" s="451">
        <f>SUMIFS(V.M,Tabela16[Task Nº],$U15,Tabela16[Institution**],AF$2)*Info!C$10</f>
        <v>0</v>
      </c>
      <c r="AG15" s="451">
        <f t="shared" ca="1" si="0"/>
        <v>0</v>
      </c>
      <c r="AH15" s="110"/>
      <c r="AI15" s="110"/>
      <c r="AJ15" s="110"/>
      <c r="AK15" s="110"/>
      <c r="AL15" s="110"/>
    </row>
    <row r="16" spans="1:38" ht="17.2" customHeight="1">
      <c r="A16" s="373">
        <f t="shared" si="1"/>
        <v>14</v>
      </c>
      <c r="B16" s="374"/>
      <c r="C16" s="375"/>
      <c r="D16" s="475"/>
      <c r="E16" s="374"/>
      <c r="F16" s="374"/>
      <c r="G16" s="377" t="str">
        <f>IF(Tabela16[[#This Row],[Value]]="","",IF(Tabela16[[#This Row],[Institution**]]="","Alert: Fill in Institution",IF('[3]6.Other Exp. Categories'!$B16="M","Note: impute in DPD charging costs for presenting papers at conferences",IF('[3]6.Other Exp. Categories'!$B16="SC","Note: Impute in AQ? SC needs validation from FCiência.ID",IF('[3]6.Other Exp. Categories'!$B16="AE","Note: Limited to a maximum of 10% of the total eligible project expenses",IF(Tabela16[[#This Row],[Expense Category*]]="RH",P32,""))))))</f>
        <v/>
      </c>
      <c r="I16" s="795" t="s">
        <v>889</v>
      </c>
      <c r="J16" s="795"/>
      <c r="K16" s="395" t="e">
        <f ca="1">+'4.Team'!CC39+'4.Team'!CC48+'5.Equipments'!AI23</f>
        <v>#N/A</v>
      </c>
      <c r="P16" s="169" t="s">
        <v>883</v>
      </c>
      <c r="T16" s="456" t="s">
        <v>31</v>
      </c>
      <c r="U16" s="450" t="str">
        <f>+'3.Tasks'!BK17</f>
        <v>N/A</v>
      </c>
      <c r="V16" s="451">
        <f ca="1">(SUMIFS(V.M,Tabela16[Task Nº],$U16,Tabela16[Institution**],V$2)+'5.Equipments'!AW23+'4.Team'!CV63)*Info!F$11</f>
        <v>0</v>
      </c>
      <c r="W16" s="451">
        <f>SUMIFS(V.M,Tabela16[Task Nº],$U16,Tabela16[Institution**],W$2)*Info!C10</f>
        <v>0</v>
      </c>
      <c r="X16" s="451">
        <f>SUMIFS(V.M,Tabela16[Task Nº],$U16,Tabela16[Institution**],X$2)*Info!C$10</f>
        <v>0</v>
      </c>
      <c r="Y16" s="451">
        <f>SUMIFS(V.M,Tabela16[Task Nº],$U16,Tabela16[Institution**],Y$2)*Info!C$10</f>
        <v>0</v>
      </c>
      <c r="Z16" s="451">
        <f>SUMIFS(V.M,Tabela16[Task Nº],$U16,Tabela16[Institution**],Z$2)*Info!C$10</f>
        <v>0</v>
      </c>
      <c r="AA16" s="451">
        <f>SUMIFS(V.M,Tabela16[Task Nº],$U16,Tabela16[Institution**],AA$2)*Info!C$10</f>
        <v>0</v>
      </c>
      <c r="AB16" s="451">
        <f>SUMIFS(V.M,Tabela16[Task Nº],$U16,Tabela16[Institution**],AB$2)*Info!C$10</f>
        <v>0</v>
      </c>
      <c r="AC16" s="451">
        <f>SUMIFS(V.M,Tabela16[Task Nº],$U16,Tabela16[Institution**],AC$2)*Info!C$10</f>
        <v>0</v>
      </c>
      <c r="AD16" s="451">
        <f>SUMIFS(V.M,Tabela16[Task Nº],$U16,Tabela16[Institution**],AD$2)*Info!C$10</f>
        <v>0</v>
      </c>
      <c r="AE16" s="451">
        <f>SUMIFS(V.M,Tabela16[Task Nº],$U16,Tabela16[Institution**],AE$2)*Info!C$10</f>
        <v>0</v>
      </c>
      <c r="AF16" s="451">
        <f>SUMIFS(V.M,Tabela16[Task Nº],$U16,Tabela16[Institution**],AF$2)*Info!C$10</f>
        <v>0</v>
      </c>
      <c r="AG16" s="451">
        <f t="shared" ca="1" si="0"/>
        <v>0</v>
      </c>
      <c r="AH16" s="110"/>
      <c r="AI16" s="110"/>
      <c r="AJ16" s="110"/>
      <c r="AK16" s="110"/>
      <c r="AL16" s="110"/>
    </row>
    <row r="17" spans="1:38" ht="17.2" customHeight="1">
      <c r="A17" s="373">
        <f t="shared" si="1"/>
        <v>15</v>
      </c>
      <c r="B17" s="374"/>
      <c r="C17" s="375"/>
      <c r="D17" s="475"/>
      <c r="E17" s="374"/>
      <c r="F17" s="374"/>
      <c r="G17" s="377" t="str">
        <f>IF(Tabela16[[#This Row],[Value]]="","",IF(Tabela16[[#This Row],[Institution**]]="","Alert: Fill in Institution",IF('[3]6.Other Exp. Categories'!$B17="M","Note: impute in DPD charging costs for presenting papers at conferences",IF('[3]6.Other Exp. Categories'!$B17="SC","Note: Impute in AQ? SC needs validation from FCiência.ID",IF('[3]6.Other Exp. Categories'!$B17="AE","Note: Limited to a maximum of 10% of the total eligible project expenses",IF(Tabela16[[#This Row],[Expense Category*]]="RH",P33,""))))))</f>
        <v/>
      </c>
      <c r="I17" s="795" t="s">
        <v>888</v>
      </c>
      <c r="J17" s="795"/>
      <c r="K17" s="395" t="e">
        <f ca="1">+K15-K16</f>
        <v>#N/A</v>
      </c>
      <c r="L17" s="169" t="e">
        <f ca="1">IF(K17&lt;0,"Alert: Need to fill in sheet 6 or reduce ineligible costs.","")</f>
        <v>#N/A</v>
      </c>
      <c r="P17" s="169" t="s">
        <v>884</v>
      </c>
      <c r="T17" s="456" t="s">
        <v>32</v>
      </c>
      <c r="U17" s="450" t="str">
        <f>+'3.Tasks'!BK18</f>
        <v>N/A</v>
      </c>
      <c r="V17" s="451">
        <f ca="1">(SUMIFS(V.M,Tabela16[Task Nº],$U17,Tabela16[Institution**],V$2)+'5.Equipments'!AX23+'4.Team'!CW63)*Info!F$11</f>
        <v>0</v>
      </c>
      <c r="W17" s="451">
        <f>SUMIFS(V.M,Tabela16[Task Nº],$U17,Tabela16[Institution**],W$2)*Info!C10</f>
        <v>0</v>
      </c>
      <c r="X17" s="451">
        <f>SUMIFS(V.M,Tabela16[Task Nº],$U17,Tabela16[Institution**],X$2)*Info!C$10</f>
        <v>0</v>
      </c>
      <c r="Y17" s="451">
        <f>SUMIFS(V.M,Tabela16[Task Nº],$U17,Tabela16[Institution**],Y$2)*Info!C$10</f>
        <v>0</v>
      </c>
      <c r="Z17" s="451">
        <f>SUMIFS(V.M,Tabela16[Task Nº],$U17,Tabela16[Institution**],Z$2)*Info!C$10</f>
        <v>0</v>
      </c>
      <c r="AA17" s="451">
        <f>SUMIFS(V.M,Tabela16[Task Nº],$U17,Tabela16[Institution**],AA$2)*Info!C$10</f>
        <v>0</v>
      </c>
      <c r="AB17" s="451">
        <f>SUMIFS(V.M,Tabela16[Task Nº],$U17,Tabela16[Institution**],AB$2)*Info!C$10</f>
        <v>0</v>
      </c>
      <c r="AC17" s="451">
        <f>SUMIFS(V.M,Tabela16[Task Nº],$U17,Tabela16[Institution**],AC$2)*Info!C$10</f>
        <v>0</v>
      </c>
      <c r="AD17" s="451">
        <f>SUMIFS(V.M,Tabela16[Task Nº],$U17,Tabela16[Institution**],AD$2)*Info!C$10</f>
        <v>0</v>
      </c>
      <c r="AE17" s="451">
        <f>SUMIFS(V.M,Tabela16[Task Nº],$U17,Tabela16[Institution**],AE$2)*Info!C$10</f>
        <v>0</v>
      </c>
      <c r="AF17" s="451">
        <f>SUMIFS(V.M,Tabela16[Task Nº],$U17,Tabela16[Institution**],AF$2)*Info!C$10</f>
        <v>0</v>
      </c>
      <c r="AG17" s="451">
        <f t="shared" ca="1" si="0"/>
        <v>0</v>
      </c>
      <c r="AH17" s="110"/>
      <c r="AI17" s="110"/>
      <c r="AJ17" s="110"/>
      <c r="AK17" s="110"/>
      <c r="AL17" s="110"/>
    </row>
    <row r="18" spans="1:38" ht="17.2" customHeight="1">
      <c r="A18" s="373">
        <f t="shared" si="1"/>
        <v>16</v>
      </c>
      <c r="B18" s="374"/>
      <c r="C18" s="375"/>
      <c r="D18" s="475"/>
      <c r="E18" s="374"/>
      <c r="F18" s="374"/>
      <c r="G18" s="377" t="str">
        <f>IF(Tabela16[[#This Row],[Value]]="","",IF(Tabela16[[#This Row],[Institution**]]="","Alert: Fill in Institution",IF('[3]6.Other Exp. Categories'!$B18="M","Note: impute in DPD charging costs for presenting papers at conferences",IF('[3]6.Other Exp. Categories'!$B18="SC","Note: Impute in AQ? SC needs validation from FCiência.ID",IF('[3]6.Other Exp. Categories'!$B18="AE","Note: Limited to a maximum of 10% of the total eligible project expenses",IF(Tabela16[[#This Row],[Expense Category*]]="RH",P34,""))))))</f>
        <v/>
      </c>
      <c r="P18" s="169" t="s">
        <v>885</v>
      </c>
      <c r="T18" s="456" t="s">
        <v>33</v>
      </c>
      <c r="U18" s="450" t="str">
        <f>+'3.Tasks'!BK19</f>
        <v>N/A</v>
      </c>
      <c r="V18" s="451">
        <f ca="1">(SUMIFS(V.M,Tabela16[Task Nº],$U18,Tabela16[Institution**],V$2)+'5.Equipments'!AY23+'4.Team'!CX63)*Info!F$11</f>
        <v>0</v>
      </c>
      <c r="W18" s="451">
        <f>SUMIFS(V.M,Tabela16[Task Nº],$U18,Tabela16[Institution**],W$2)*Info!C10</f>
        <v>0</v>
      </c>
      <c r="X18" s="451">
        <f>SUMIFS(V.M,Tabela16[Task Nº],$U18,Tabela16[Institution**],X$2)*Info!C$10</f>
        <v>0</v>
      </c>
      <c r="Y18" s="451">
        <f>SUMIFS(V.M,Tabela16[Task Nº],$U18,Tabela16[Institution**],Y$2)*Info!C$10</f>
        <v>0</v>
      </c>
      <c r="Z18" s="451">
        <f>SUMIFS(V.M,Tabela16[Task Nº],$U18,Tabela16[Institution**],Z$2)*Info!C$10</f>
        <v>0</v>
      </c>
      <c r="AA18" s="451">
        <f>SUMIFS(V.M,Tabela16[Task Nº],$U18,Tabela16[Institution**],AA$2)*Info!C$10</f>
        <v>0</v>
      </c>
      <c r="AB18" s="451">
        <f>SUMIFS(V.M,Tabela16[Task Nº],$U18,Tabela16[Institution**],AB$2)*Info!C$10</f>
        <v>0</v>
      </c>
      <c r="AC18" s="451">
        <f>SUMIFS(V.M,Tabela16[Task Nº],$U18,Tabela16[Institution**],AC$2)*Info!C$10</f>
        <v>0</v>
      </c>
      <c r="AD18" s="451">
        <f>SUMIFS(V.M,Tabela16[Task Nº],$U18,Tabela16[Institution**],AD$2)*Info!C$10</f>
        <v>0</v>
      </c>
      <c r="AE18" s="451">
        <f>SUMIFS(V.M,Tabela16[Task Nº],$U18,Tabela16[Institution**],AE$2)*Info!C$10</f>
        <v>0</v>
      </c>
      <c r="AF18" s="451">
        <f>SUMIFS(V.M,Tabela16[Task Nº],$U18,Tabela16[Institution**],AF$2)*Info!C$10</f>
        <v>0</v>
      </c>
      <c r="AG18" s="451">
        <f t="shared" ca="1" si="0"/>
        <v>0</v>
      </c>
      <c r="AH18" s="110"/>
      <c r="AI18" s="110"/>
      <c r="AJ18" s="110"/>
      <c r="AK18" s="110"/>
      <c r="AL18" s="110"/>
    </row>
    <row r="19" spans="1:38" ht="17.2" customHeight="1">
      <c r="A19" s="373">
        <f t="shared" si="1"/>
        <v>17</v>
      </c>
      <c r="B19" s="374"/>
      <c r="C19" s="375"/>
      <c r="D19" s="475"/>
      <c r="E19" s="374"/>
      <c r="F19" s="374"/>
      <c r="G19" s="377" t="str">
        <f>IF(Tabela16[[#This Row],[Value]]="","",IF(Tabela16[[#This Row],[Institution**]]="","Alert: Fill in Institution",IF('[3]6.Other Exp. Categories'!$B19="M","Note: impute in DPD charging costs for presenting papers at conferences",IF('[3]6.Other Exp. Categories'!$B19="SC","Note: Impute in AQ? SC needs validation from FCiência.ID",IF('[3]6.Other Exp. Categories'!$B19="AE","Note: Limited to a maximum of 10% of the total eligible project expenses",IF(Tabela16[[#This Row],[Expense Category*]]="RH",P35,""))))))</f>
        <v/>
      </c>
      <c r="I19" s="805" t="e">
        <f ca="1">IF(L13&lt;0,"ALERT: It exceeded the maximum budget allowed for this call.:","")</f>
        <v>#VALUE!</v>
      </c>
      <c r="J19" s="805"/>
      <c r="K19" s="805"/>
      <c r="L19" s="805"/>
      <c r="P19" s="169" t="s">
        <v>886</v>
      </c>
      <c r="T19" s="456" t="s">
        <v>34</v>
      </c>
      <c r="U19" s="450" t="str">
        <f>+'3.Tasks'!BK20</f>
        <v>N/A</v>
      </c>
      <c r="V19" s="451">
        <f ca="1">(SUMIFS(V.M,Tabela16[Task Nº],$U19,Tabela16[Institution**],V$2)+'5.Equipments'!AZ23+'4.Team'!CY63)*Info!F$11</f>
        <v>0</v>
      </c>
      <c r="W19" s="451">
        <f>SUMIFS(V.M,Tabela16[Task Nº],$U19,Tabela16[Institution**],W$2)*Info!C10</f>
        <v>0</v>
      </c>
      <c r="X19" s="451">
        <f>SUMIFS(V.M,Tabela16[Task Nº],$U19,Tabela16[Institution**],X$2)*Info!C$10</f>
        <v>0</v>
      </c>
      <c r="Y19" s="451">
        <f>SUMIFS(V.M,Tabela16[Task Nº],$U19,Tabela16[Institution**],Y$2)*Info!C$10</f>
        <v>0</v>
      </c>
      <c r="Z19" s="451">
        <f>SUMIFS(V.M,Tabela16[Task Nº],$U19,Tabela16[Institution**],Z$2)*Info!C$10</f>
        <v>0</v>
      </c>
      <c r="AA19" s="451">
        <f>SUMIFS(V.M,Tabela16[Task Nº],$U19,Tabela16[Institution**],AA$2)*Info!C$10</f>
        <v>0</v>
      </c>
      <c r="AB19" s="451">
        <f>SUMIFS(V.M,Tabela16[Task Nº],$U19,Tabela16[Institution**],AB$2)*Info!C$10</f>
        <v>0</v>
      </c>
      <c r="AC19" s="451">
        <f>SUMIFS(V.M,Tabela16[Task Nº],$U19,Tabela16[Institution**],AC$2)*Info!C$10</f>
        <v>0</v>
      </c>
      <c r="AD19" s="451">
        <f>SUMIFS(V.M,Tabela16[Task Nº],$U19,Tabela16[Institution**],AD$2)*Info!C$10</f>
        <v>0</v>
      </c>
      <c r="AE19" s="451">
        <f>SUMIFS(V.M,Tabela16[Task Nº],$U19,Tabela16[Institution**],AE$2)*Info!C$10</f>
        <v>0</v>
      </c>
      <c r="AF19" s="451">
        <f>SUMIFS(V.M,Tabela16[Task Nº],$U19,Tabela16[Institution**],AF$2)*Info!C$10</f>
        <v>0</v>
      </c>
      <c r="AG19" s="451">
        <f t="shared" ca="1" si="0"/>
        <v>0</v>
      </c>
      <c r="AH19" s="110"/>
      <c r="AI19" s="110" t="s">
        <v>937</v>
      </c>
      <c r="AJ19" s="110"/>
      <c r="AK19" s="110"/>
      <c r="AL19" s="110"/>
    </row>
    <row r="20" spans="1:38" ht="17.2" customHeight="1">
      <c r="A20" s="373">
        <f t="shared" si="1"/>
        <v>18</v>
      </c>
      <c r="B20" s="374"/>
      <c r="C20" s="375"/>
      <c r="D20" s="475"/>
      <c r="E20" s="374"/>
      <c r="F20" s="374"/>
      <c r="G20" s="377" t="str">
        <f>IF(Tabela16[[#This Row],[Value]]="","",IF(Tabela16[[#This Row],[Institution**]]="","Alert: Fill in Institution",IF('[3]6.Other Exp. Categories'!$B20="M","Note: impute in DPD charging costs for presenting papers at conferences",IF('[3]6.Other Exp. Categories'!$B20="SC","Note: Impute in AQ? SC needs validation from FCiência.ID",IF('[3]6.Other Exp. Categories'!$B20="AE","Note: Limited to a maximum of 10% of the total eligible project expenses",IF(Tabela16[[#This Row],[Expense Category*]]="RH",P36,""))))))</f>
        <v/>
      </c>
      <c r="I20" s="805"/>
      <c r="J20" s="805"/>
      <c r="K20" s="805"/>
      <c r="L20" s="805"/>
      <c r="T20" s="456" t="s">
        <v>35</v>
      </c>
      <c r="U20" s="450" t="str">
        <f>+'3.Tasks'!BK21</f>
        <v>N/A</v>
      </c>
      <c r="V20" s="451">
        <f ca="1">(SUMIFS(V.M,Tabela16[Task Nº],$U20,Tabela16[Institution**],V$2)+'5.Equipments'!BA23+'4.Team'!CZ63)*Info!F$11</f>
        <v>0</v>
      </c>
      <c r="W20" s="451">
        <f>SUMIFS(V.M,Tabela16[Task Nº],$U20,Tabela16[Institution**],W$2)*Info!C10</f>
        <v>0</v>
      </c>
      <c r="X20" s="451">
        <f>SUMIFS(V.M,Tabela16[Task Nº],$U20,Tabela16[Institution**],X$2)*Info!C$10</f>
        <v>0</v>
      </c>
      <c r="Y20" s="451">
        <f>SUMIFS(V.M,Tabela16[Task Nº],$U20,Tabela16[Institution**],Y$2)*Info!C$10</f>
        <v>0</v>
      </c>
      <c r="Z20" s="451">
        <f>SUMIFS(V.M,Tabela16[Task Nº],$U20,Tabela16[Institution**],Z$2)*Info!C$10</f>
        <v>0</v>
      </c>
      <c r="AA20" s="451">
        <f>SUMIFS(V.M,Tabela16[Task Nº],$U20,Tabela16[Institution**],AA$2)*Info!C$10</f>
        <v>0</v>
      </c>
      <c r="AB20" s="451">
        <f>SUMIFS(V.M,Tabela16[Task Nº],$U20,Tabela16[Institution**],AB$2)*Info!C$10</f>
        <v>0</v>
      </c>
      <c r="AC20" s="451">
        <f>SUMIFS(V.M,Tabela16[Task Nº],$U20,Tabela16[Institution**],AC$2)*Info!C$10</f>
        <v>0</v>
      </c>
      <c r="AD20" s="451">
        <f>SUMIFS(V.M,Tabela16[Task Nº],$U20,Tabela16[Institution**],AD$2)*Info!C$10</f>
        <v>0</v>
      </c>
      <c r="AE20" s="451">
        <f>SUMIFS(V.M,Tabela16[Task Nº],$U20,Tabela16[Institution**],AE$2)*Info!C$10</f>
        <v>0</v>
      </c>
      <c r="AF20" s="451">
        <f>SUMIFS(V.M,Tabela16[Task Nº],$U20,Tabela16[Institution**],AF$2)*Info!C$10</f>
        <v>0</v>
      </c>
      <c r="AG20" s="451">
        <f t="shared" ca="1" si="0"/>
        <v>0</v>
      </c>
      <c r="AH20" s="110"/>
      <c r="AI20" s="110" t="s">
        <v>936</v>
      </c>
      <c r="AJ20" s="110"/>
      <c r="AK20" s="110"/>
      <c r="AL20" s="110"/>
    </row>
    <row r="21" spans="1:38" ht="17.2" customHeight="1">
      <c r="A21" s="373">
        <f t="shared" si="1"/>
        <v>19</v>
      </c>
      <c r="B21" s="374"/>
      <c r="C21" s="375"/>
      <c r="D21" s="475"/>
      <c r="E21" s="374"/>
      <c r="F21" s="374"/>
      <c r="G21" s="377" t="str">
        <f>IF(Tabela16[[#This Row],[Value]]="","",IF(Tabela16[[#This Row],[Institution**]]="","Alert: Fill in Institution",IF('[3]6.Other Exp. Categories'!$B21="M","Note: impute in DPD charging costs for presenting papers at conferences",IF('[3]6.Other Exp. Categories'!$B21="SC","Note: Impute in AQ? SC needs validation from FCiência.ID",IF('[3]6.Other Exp. Categories'!$B21="AE","Note: Limited to a maximum of 10% of the total eligible project expenses",IF(Tabela16[[#This Row],[Expense Category*]]="RH",P37,""))))))</f>
        <v/>
      </c>
      <c r="I21" s="805"/>
      <c r="J21" s="805"/>
      <c r="K21" s="805"/>
      <c r="L21" s="805"/>
      <c r="T21" s="456" t="s">
        <v>36</v>
      </c>
      <c r="U21" s="450" t="str">
        <f>+'3.Tasks'!BK22</f>
        <v>N/A</v>
      </c>
      <c r="V21" s="451">
        <f ca="1">(SUMIFS(V.M,Tabela16[Task Nº],$U21,Tabela16[Institution**],V$2)+'5.Equipments'!BB23+'4.Team'!DA63)*Info!F$11</f>
        <v>0</v>
      </c>
      <c r="W21" s="451">
        <f>SUMIFS(V.M,Tabela16[Task Nº],$U21,Tabela16[Institution**],W$2)*Info!C10</f>
        <v>0</v>
      </c>
      <c r="X21" s="451">
        <f>SUMIFS(V.M,Tabela16[Task Nº],$U21,Tabela16[Institution**],X$2)*Info!C$10</f>
        <v>0</v>
      </c>
      <c r="Y21" s="451">
        <f>SUMIFS(V.M,Tabela16[Task Nº],$U21,Tabela16[Institution**],Y$2)*Info!C$10</f>
        <v>0</v>
      </c>
      <c r="Z21" s="451">
        <f>SUMIFS(V.M,Tabela16[Task Nº],$U21,Tabela16[Institution**],Z$2)*Info!C$10</f>
        <v>0</v>
      </c>
      <c r="AA21" s="451">
        <f>SUMIFS(V.M,Tabela16[Task Nº],$U21,Tabela16[Institution**],AA$2)*Info!C$10</f>
        <v>0</v>
      </c>
      <c r="AB21" s="451">
        <f>SUMIFS(V.M,Tabela16[Task Nº],$U21,Tabela16[Institution**],AB$2)*Info!C$10</f>
        <v>0</v>
      </c>
      <c r="AC21" s="451">
        <f>SUMIFS(V.M,Tabela16[Task Nº],$U21,Tabela16[Institution**],AC$2)*Info!C$10</f>
        <v>0</v>
      </c>
      <c r="AD21" s="451">
        <f>SUMIFS(V.M,Tabela16[Task Nº],$U21,Tabela16[Institution**],AD$2)*Info!C$10</f>
        <v>0</v>
      </c>
      <c r="AE21" s="451">
        <f>SUMIFS(V.M,Tabela16[Task Nº],$U21,Tabela16[Institution**],AE$2)*Info!C$10</f>
        <v>0</v>
      </c>
      <c r="AF21" s="451">
        <f>SUMIFS(V.M,Tabela16[Task Nº],$U21,Tabela16[Institution**],AF$2)*Info!C$10</f>
        <v>0</v>
      </c>
      <c r="AG21" s="451">
        <f t="shared" ca="1" si="0"/>
        <v>0</v>
      </c>
      <c r="AH21" s="110"/>
      <c r="AI21" s="110" t="s">
        <v>938</v>
      </c>
      <c r="AJ21" s="110"/>
      <c r="AK21" s="110"/>
      <c r="AL21" s="110"/>
    </row>
    <row r="22" spans="1:38" ht="17.2" customHeight="1">
      <c r="A22" s="373">
        <f t="shared" si="1"/>
        <v>20</v>
      </c>
      <c r="B22" s="374"/>
      <c r="C22" s="375"/>
      <c r="D22" s="475"/>
      <c r="E22" s="374"/>
      <c r="F22" s="374"/>
      <c r="G22" s="377" t="str">
        <f>IF(Tabela16[[#This Row],[Value]]="","",IF(Tabela16[[#This Row],[Institution**]]="","Alert: Fill in Institution",IF('[3]6.Other Exp. Categories'!$B22="M","Note: impute in DPD charging costs for presenting papers at conferences",IF('[3]6.Other Exp. Categories'!$B22="SC","Note: Impute in AQ? SC needs validation from FCiência.ID",IF('[3]6.Other Exp. Categories'!$B22="AE","Note: Limited to a maximum of 10% of the total eligible project expenses",IF(Tabela16[[#This Row],[Expense Category*]]="RH",P38,""))))))</f>
        <v/>
      </c>
      <c r="T22" s="456" t="s">
        <v>37</v>
      </c>
      <c r="U22" s="450" t="str">
        <f>+'3.Tasks'!BK23</f>
        <v>N/A</v>
      </c>
      <c r="V22" s="451">
        <f ca="1">(SUMIFS(V.M,Tabela16[Task Nº],$U22,Tabela16[Institution**],V$2)+'5.Equipments'!BC23+'4.Team'!DB63)*Info!F$11</f>
        <v>0</v>
      </c>
      <c r="W22" s="451">
        <f>SUMIFS(V.M,Tabela16[Task Nº],$U22,Tabela16[Institution**],W$2)*Info!C10</f>
        <v>0</v>
      </c>
      <c r="X22" s="451">
        <f>SUMIFS(V.M,Tabela16[Task Nº],$U22,Tabela16[Institution**],X$2)*Info!C$10</f>
        <v>0</v>
      </c>
      <c r="Y22" s="451">
        <f>SUMIFS(V.M,Tabela16[Task Nº],$U22,Tabela16[Institution**],Y$2)*Info!C$10</f>
        <v>0</v>
      </c>
      <c r="Z22" s="451">
        <f>SUMIFS(V.M,Tabela16[Task Nº],$U22,Tabela16[Institution**],Z$2)*Info!C$10</f>
        <v>0</v>
      </c>
      <c r="AA22" s="451">
        <f>SUMIFS(V.M,Tabela16[Task Nº],$U22,Tabela16[Institution**],AA$2)*Info!C$10</f>
        <v>0</v>
      </c>
      <c r="AB22" s="451">
        <f>SUMIFS(V.M,Tabela16[Task Nº],$U22,Tabela16[Institution**],AB$2)*Info!C$10</f>
        <v>0</v>
      </c>
      <c r="AC22" s="451">
        <f>SUMIFS(V.M,Tabela16[Task Nº],$U22,Tabela16[Institution**],AC$2)*Info!C$10</f>
        <v>0</v>
      </c>
      <c r="AD22" s="451">
        <f>SUMIFS(V.M,Tabela16[Task Nº],$U22,Tabela16[Institution**],AD$2)*Info!C$10</f>
        <v>0</v>
      </c>
      <c r="AE22" s="451">
        <f>SUMIFS(V.M,Tabela16[Task Nº],$U22,Tabela16[Institution**],AE$2)*Info!C$10</f>
        <v>0</v>
      </c>
      <c r="AF22" s="451">
        <f>SUMIFS(V.M,Tabela16[Task Nº],$U22,Tabela16[Institution**],AF$2)*Info!C$10</f>
        <v>0</v>
      </c>
      <c r="AG22" s="451">
        <f t="shared" ca="1" si="0"/>
        <v>0</v>
      </c>
      <c r="AH22" s="110"/>
      <c r="AI22" s="110" t="s">
        <v>939</v>
      </c>
      <c r="AJ22" s="110"/>
      <c r="AK22" s="110"/>
      <c r="AL22" s="110"/>
    </row>
    <row r="23" spans="1:38" ht="17.2" customHeight="1">
      <c r="A23" s="373">
        <f t="shared" si="1"/>
        <v>21</v>
      </c>
      <c r="B23" s="374"/>
      <c r="C23" s="375"/>
      <c r="D23" s="376"/>
      <c r="E23" s="374"/>
      <c r="F23" s="374"/>
      <c r="G23" s="377" t="str">
        <f>IF(Tabela16[[#This Row],[Value]]="","",IF(Tabela16[[#This Row],[Institution**]]="","Alert: Fill in Institution",IF('[3]6.Other Exp. Categories'!$B23="M","Note: impute in DPD charging costs for presenting papers at conferences",IF('[3]6.Other Exp. Categories'!$B23="SC","Note: Impute in AQ? SC needs validation from FCiência.ID",IF('[3]6.Other Exp. Categories'!$B23="AE","Note: Limited to a maximum of 10% of the total eligible project expenses",IF(Tabela16[[#This Row],[Expense Category*]]="RH",P39,""))))))</f>
        <v/>
      </c>
      <c r="T23" s="456"/>
      <c r="U23" s="452" t="s">
        <v>45</v>
      </c>
      <c r="V23" s="453">
        <f ca="1">SUM(V3:V22)</f>
        <v>0</v>
      </c>
      <c r="W23" s="453">
        <f t="shared" ref="W23:AG23" si="2">SUM(W3:W22)</f>
        <v>0</v>
      </c>
      <c r="X23" s="453">
        <f t="shared" si="2"/>
        <v>0</v>
      </c>
      <c r="Y23" s="453">
        <f t="shared" si="2"/>
        <v>0</v>
      </c>
      <c r="Z23" s="453">
        <f t="shared" si="2"/>
        <v>0</v>
      </c>
      <c r="AA23" s="453">
        <f t="shared" si="2"/>
        <v>0</v>
      </c>
      <c r="AB23" s="453">
        <f t="shared" si="2"/>
        <v>0</v>
      </c>
      <c r="AC23" s="453">
        <f t="shared" si="2"/>
        <v>0</v>
      </c>
      <c r="AD23" s="453">
        <f t="shared" si="2"/>
        <v>0</v>
      </c>
      <c r="AE23" s="453">
        <f t="shared" si="2"/>
        <v>0</v>
      </c>
      <c r="AF23" s="453">
        <f>SUM(AF3:AF22)</f>
        <v>0</v>
      </c>
      <c r="AG23" s="453">
        <f t="shared" ca="1" si="2"/>
        <v>0</v>
      </c>
      <c r="AH23" s="110"/>
      <c r="AI23" s="110"/>
      <c r="AJ23" s="552">
        <f ca="1">250000-AG23</f>
        <v>250000</v>
      </c>
      <c r="AK23" s="110"/>
      <c r="AL23" s="110"/>
    </row>
    <row r="24" spans="1:38" ht="17.2" customHeight="1">
      <c r="A24" s="373">
        <f t="shared" si="1"/>
        <v>22</v>
      </c>
      <c r="B24" s="374"/>
      <c r="C24" s="375"/>
      <c r="D24" s="376"/>
      <c r="E24" s="374"/>
      <c r="F24" s="374"/>
      <c r="G24" s="377" t="str">
        <f>IF(Tabela16[[#This Row],[Value]]="","",IF(Tabela16[[#This Row],[Institution**]]="","Alert: Fill in Institution",IF('[3]6.Other Exp. Categories'!$B24="M","Note: impute in DPD charging costs for presenting papers at conferences",IF('[3]6.Other Exp. Categories'!$B24="SC","Note: Impute in AQ? SC needs validation from FCiência.ID",IF('[3]6.Other Exp. Categories'!$B24="AE","Note: Limited to a maximum of 10% of the total eligible project expenses",IF(Tabela16[[#This Row],[Expense Category*]]="RH",P40,""))))))</f>
        <v/>
      </c>
      <c r="T24" s="456"/>
      <c r="U24" s="454"/>
      <c r="V24" s="454">
        <v>1</v>
      </c>
      <c r="W24" s="454">
        <v>2</v>
      </c>
      <c r="X24" s="454">
        <v>3</v>
      </c>
      <c r="Y24" s="454">
        <v>4</v>
      </c>
      <c r="Z24" s="454">
        <v>5</v>
      </c>
      <c r="AA24" s="454">
        <v>6</v>
      </c>
      <c r="AB24" s="454">
        <v>7</v>
      </c>
      <c r="AC24" s="454">
        <v>8</v>
      </c>
      <c r="AD24" s="454">
        <v>9</v>
      </c>
      <c r="AE24" s="454">
        <v>10</v>
      </c>
      <c r="AF24" s="454">
        <v>11</v>
      </c>
      <c r="AG24" s="110"/>
      <c r="AH24" s="110"/>
      <c r="AI24" s="110"/>
      <c r="AJ24" s="110"/>
      <c r="AK24" s="110"/>
      <c r="AL24" s="110"/>
    </row>
    <row r="25" spans="1:38" ht="17.2" customHeight="1">
      <c r="A25" s="373">
        <f t="shared" si="1"/>
        <v>23</v>
      </c>
      <c r="B25" s="374"/>
      <c r="C25" s="375"/>
      <c r="D25" s="376"/>
      <c r="E25" s="374"/>
      <c r="F25" s="374"/>
      <c r="G25" s="377" t="str">
        <f>IF(Tabela16[[#This Row],[Value]]="","",IF(Tabela16[[#This Row],[Institution**]]="","Alert: Fill in Institution",IF('[3]6.Other Exp. Categories'!$B25="M","Note: impute in DPD charging costs for presenting papers at conferences",IF('[3]6.Other Exp. Categories'!$B25="SC","Note: Impute in AQ? SC needs validation from FCiência.ID",IF('[3]6.Other Exp. Categories'!$B25="AE","Note: Limited to a maximum of 10% of the total eligible project expenses",IF(Tabela16[[#This Row],[Expense Category*]]="RH",P41,""))))))</f>
        <v/>
      </c>
      <c r="T25" s="456"/>
      <c r="U25" s="795" t="s">
        <v>911</v>
      </c>
      <c r="V25" s="795"/>
      <c r="W25" s="455" t="e">
        <f ca="1">+AG42</f>
        <v>#N/A</v>
      </c>
      <c r="X25" s="110"/>
      <c r="Y25" s="804" t="s">
        <v>931</v>
      </c>
      <c r="Z25" s="804"/>
      <c r="AA25" s="804"/>
      <c r="AB25" s="804"/>
      <c r="AC25" s="470">
        <f ca="1">+AG23</f>
        <v>0</v>
      </c>
      <c r="AD25" s="110"/>
      <c r="AE25" s="795" t="s">
        <v>934</v>
      </c>
      <c r="AF25" s="795"/>
      <c r="AG25" s="395" t="e">
        <f ca="1">IF(Info!B10=0.25,'6.Other Exp. Categories'!V41*20%,0)</f>
        <v>#N/A</v>
      </c>
      <c r="AH25" s="110"/>
      <c r="AI25" s="110"/>
      <c r="AJ25" s="110"/>
      <c r="AK25" s="110"/>
      <c r="AL25" s="110"/>
    </row>
    <row r="26" spans="1:38" ht="17.2" customHeight="1">
      <c r="A26" s="373">
        <f t="shared" si="1"/>
        <v>24</v>
      </c>
      <c r="B26" s="374"/>
      <c r="C26" s="375"/>
      <c r="D26" s="376"/>
      <c r="E26" s="374"/>
      <c r="F26" s="374"/>
      <c r="G26" s="377" t="str">
        <f>IF(Tabela16[[#This Row],[Value]]="","",IF(Tabela16[[#This Row],[Institution**]]="","Alert: Fill in Institution",IF('[3]6.Other Exp. Categories'!$B26="M","Note: impute in DPD charging costs for presenting papers at conferences",IF('[3]6.Other Exp. Categories'!$B26="SC","Note: Impute in AQ? SC needs validation from FCiência.ID",IF('[3]6.Other Exp. Categories'!$B26="AE","Note: Limited to a maximum of 10% of the total eligible project expenses",IF(Tabela16[[#This Row],[Expense Category*]]="RH",P42,""))))))</f>
        <v/>
      </c>
      <c r="L26" s="182"/>
      <c r="T26" s="456"/>
      <c r="U26" s="795" t="s">
        <v>912</v>
      </c>
      <c r="V26" s="795"/>
      <c r="W26" s="455" t="e">
        <f ca="1">'1.G.Data'!K7-W25</f>
        <v>#VALUE!</v>
      </c>
      <c r="X26" s="471"/>
      <c r="Y26" s="804" t="s">
        <v>932</v>
      </c>
      <c r="Z26" s="804"/>
      <c r="AA26" s="804"/>
      <c r="AB26" s="804"/>
      <c r="AC26" s="470" t="e">
        <f ca="1">+AG42</f>
        <v>#N/A</v>
      </c>
      <c r="AD26" s="110"/>
      <c r="AE26" s="795" t="s">
        <v>889</v>
      </c>
      <c r="AF26" s="795"/>
      <c r="AG26" s="395" t="e">
        <f ca="1">+'4.Team'!CC39+'4.Team'!CC48+'5.Equipments'!AH23+'5.Equipments'!AI23</f>
        <v>#N/A</v>
      </c>
      <c r="AH26" s="110"/>
      <c r="AI26" s="110"/>
      <c r="AJ26" s="110"/>
      <c r="AK26" s="110"/>
      <c r="AL26" s="110"/>
    </row>
    <row r="27" spans="1:38" ht="17.2" customHeight="1">
      <c r="A27" s="373">
        <f t="shared" si="1"/>
        <v>25</v>
      </c>
      <c r="B27" s="374"/>
      <c r="C27" s="375"/>
      <c r="D27" s="376"/>
      <c r="E27" s="374"/>
      <c r="F27" s="374"/>
      <c r="G27" s="377" t="str">
        <f>IF(Tabela16[[#This Row],[Value]]="","",IF(Tabela16[[#This Row],[Institution**]]="","Alert: Fill in Institution",IF('[3]6.Other Exp. Categories'!$B27="M","Note: impute in DPD charging costs for presenting papers at conferences",IF('[3]6.Other Exp. Categories'!$B27="SC","Note: Impute in AQ? SC needs validation from FCiência.ID",IF('[3]6.Other Exp. Categories'!$B27="AE","Note: Limited to a maximum of 10% of the total eligible project expenses",IF(Tabela16[[#This Row],[Expense Category*]]="RH",P43,""))))))</f>
        <v/>
      </c>
      <c r="I27" s="110"/>
      <c r="J27" s="110"/>
      <c r="K27" s="110"/>
      <c r="L27" s="183"/>
      <c r="T27" s="110"/>
      <c r="U27" s="795" t="s">
        <v>930</v>
      </c>
      <c r="V27" s="795"/>
      <c r="W27" s="455"/>
      <c r="X27" s="110"/>
      <c r="Y27" s="804" t="s">
        <v>933</v>
      </c>
      <c r="Z27" s="804"/>
      <c r="AA27" s="804"/>
      <c r="AB27" s="804"/>
      <c r="AC27" s="470" t="e">
        <f ca="1">+AC25-AC26</f>
        <v>#N/A</v>
      </c>
      <c r="AD27" s="110"/>
      <c r="AE27" s="795" t="s">
        <v>888</v>
      </c>
      <c r="AF27" s="795"/>
      <c r="AG27" s="395" t="e">
        <f ca="1">+AG25-AG26</f>
        <v>#N/A</v>
      </c>
      <c r="AH27" s="473" t="s">
        <v>935</v>
      </c>
      <c r="AI27" s="110"/>
      <c r="AJ27" s="110"/>
      <c r="AK27" s="110"/>
      <c r="AL27" s="110"/>
    </row>
    <row r="28" spans="1:38" ht="17.2" customHeight="1">
      <c r="A28" s="373">
        <f t="shared" si="1"/>
        <v>26</v>
      </c>
      <c r="B28" s="374"/>
      <c r="C28" s="375"/>
      <c r="D28" s="376"/>
      <c r="E28" s="374"/>
      <c r="F28" s="374"/>
      <c r="G28" s="377" t="str">
        <f>IF(Tabela16[[#This Row],[Value]]="","",IF(Tabela16[[#This Row],[Institution**]]="","Alert: Fill in Institution",IF('[3]6.Other Exp. Categories'!$B28="M","Note: impute in DPD charging costs for presenting papers at conferences",IF('[3]6.Other Exp. Categories'!$B28="SC","Note: Impute in AQ? SC needs validation from FCiência.ID",IF('[3]6.Other Exp. Categories'!$B28="AE","Note: Limited to a maximum of 10% of the total eligible project expenses",IF(Tabela16[[#This Row],[Expense Category*]]="RH",P44,""))))))</f>
        <v/>
      </c>
      <c r="I28" s="110"/>
      <c r="J28" s="110"/>
      <c r="K28" s="110"/>
      <c r="L28" s="110"/>
      <c r="T28" s="110"/>
      <c r="U28" s="802" t="e">
        <f ca="1">IF(W26&lt;0,AI21,"")</f>
        <v>#VALUE!</v>
      </c>
      <c r="V28" s="802"/>
      <c r="W28" s="802"/>
      <c r="X28" s="110"/>
      <c r="Y28" s="798" t="e">
        <f ca="1">IF(AC27&lt;0,AI19,IF(AC27&gt;0,AI20,""))</f>
        <v>#N/A</v>
      </c>
      <c r="Z28" s="798"/>
      <c r="AA28" s="798"/>
      <c r="AB28" s="798"/>
      <c r="AC28" s="798"/>
      <c r="AD28" s="110"/>
      <c r="AE28" s="800" t="e">
        <f ca="1">IF(AG27&lt;0,AI22,"")</f>
        <v>#N/A</v>
      </c>
      <c r="AF28" s="800"/>
      <c r="AG28" s="800"/>
      <c r="AH28" s="110"/>
      <c r="AI28" s="110"/>
      <c r="AJ28" s="110"/>
      <c r="AK28" s="110"/>
      <c r="AL28" s="110"/>
    </row>
    <row r="29" spans="1:38" ht="17.2" customHeight="1">
      <c r="A29" s="373">
        <f t="shared" si="1"/>
        <v>27</v>
      </c>
      <c r="B29" s="374"/>
      <c r="C29" s="375"/>
      <c r="D29" s="376"/>
      <c r="E29" s="374"/>
      <c r="F29" s="374"/>
      <c r="G29" s="377" t="str">
        <f>IF(Tabela16[[#This Row],[Value]]="","",IF(Tabela16[[#This Row],[Institution**]]="","Alert: Fill in Institution",IF('[3]6.Other Exp. Categories'!$B29="M","Note: impute in DPD charging costs for presenting papers at conferences",IF('[3]6.Other Exp. Categories'!$B29="SC","Note: Impute in AQ? SC needs validation from FCiência.ID",IF('[3]6.Other Exp. Categories'!$B29="AE","Note: Limited to a maximum of 10% of the total eligible project expenses",IF(Tabela16[[#This Row],[Expense Category*]]="RH",P45,""))))))</f>
        <v/>
      </c>
      <c r="I29" s="110"/>
      <c r="J29" s="110"/>
      <c r="K29" s="110"/>
      <c r="L29" s="110"/>
      <c r="T29" s="110"/>
      <c r="U29" s="803"/>
      <c r="V29" s="803"/>
      <c r="W29" s="803"/>
      <c r="X29" s="472"/>
      <c r="Y29" s="799"/>
      <c r="Z29" s="799"/>
      <c r="AA29" s="799"/>
      <c r="AB29" s="799"/>
      <c r="AC29" s="799"/>
      <c r="AD29" s="472"/>
      <c r="AE29" s="801"/>
      <c r="AF29" s="801"/>
      <c r="AG29" s="801"/>
      <c r="AH29" s="110"/>
      <c r="AI29" s="110"/>
      <c r="AJ29" s="110"/>
      <c r="AK29" s="110"/>
      <c r="AL29" s="110"/>
    </row>
    <row r="30" spans="1:38" ht="17.2" customHeight="1">
      <c r="A30" s="373">
        <f t="shared" si="1"/>
        <v>28</v>
      </c>
      <c r="B30" s="374"/>
      <c r="C30" s="375"/>
      <c r="D30" s="376"/>
      <c r="E30" s="374"/>
      <c r="F30" s="374"/>
      <c r="G30" s="377" t="str">
        <f>IF(Tabela16[[#This Row],[Value]]="","",IF(Tabela16[[#This Row],[Institution**]]="","Alert: Fill in Institution",IF('[3]6.Other Exp. Categories'!$B30="M","Note: impute in DPD charging costs for presenting papers at conferences",IF('[3]6.Other Exp. Categories'!$B30="SC","Note: Impute in AQ? SC needs validation from FCiência.ID",IF('[3]6.Other Exp. Categories'!$B30="AE","Note: Limited to a maximum of 10% of the total eligible project expenses",IF(Tabela16[[#This Row],[Expense Category*]]="RH",P46,""))))))</f>
        <v/>
      </c>
      <c r="I30" s="110"/>
      <c r="J30" s="110"/>
      <c r="K30" s="110"/>
      <c r="L30" s="110"/>
      <c r="T30" s="110"/>
      <c r="U30" s="796" t="s">
        <v>929</v>
      </c>
      <c r="V30" s="796"/>
      <c r="W30" s="796"/>
      <c r="X30" s="796"/>
      <c r="Y30" s="796"/>
      <c r="Z30" s="796"/>
      <c r="AA30" s="796"/>
      <c r="AB30" s="796"/>
      <c r="AC30" s="796"/>
      <c r="AD30" s="796"/>
      <c r="AE30" s="796"/>
      <c r="AF30" s="796"/>
      <c r="AG30" s="796"/>
      <c r="AH30" s="110"/>
      <c r="AI30" s="110"/>
      <c r="AJ30" s="110"/>
      <c r="AK30" s="110"/>
      <c r="AL30" s="110"/>
    </row>
    <row r="31" spans="1:38" ht="17.2" customHeight="1">
      <c r="A31" s="373">
        <f t="shared" si="1"/>
        <v>29</v>
      </c>
      <c r="B31" s="374"/>
      <c r="C31" s="375"/>
      <c r="D31" s="376"/>
      <c r="E31" s="374"/>
      <c r="F31" s="374"/>
      <c r="G31" s="377" t="str">
        <f>IF(Tabela16[[#This Row],[Value]]="","",IF(Tabela16[[#This Row],[Institution**]]="","Alert: Fill in Institution",IF('[3]6.Other Exp. Categories'!$B31="M","Note: impute in DPD charging costs for presenting papers at conferences",IF('[3]6.Other Exp. Categories'!$B31="SC","Note: Impute in AQ? SC needs validation from FCiência.ID",IF('[3]6.Other Exp. Categories'!$B31="AE","Note: Limited to a maximum of 10% of the total eligible project expenses",IF(Tabela16[[#This Row],[Expense Category*]]="RH",P47,""))))))</f>
        <v/>
      </c>
      <c r="I31" s="110"/>
      <c r="J31" s="110"/>
      <c r="K31" s="110"/>
      <c r="L31" s="110"/>
      <c r="T31" s="110"/>
      <c r="U31" s="797"/>
      <c r="V31" s="797"/>
      <c r="W31" s="797"/>
      <c r="X31" s="797"/>
      <c r="Y31" s="797"/>
      <c r="Z31" s="797"/>
      <c r="AA31" s="797"/>
      <c r="AB31" s="797"/>
      <c r="AC31" s="797"/>
      <c r="AD31" s="797"/>
      <c r="AE31" s="797"/>
      <c r="AF31" s="797"/>
      <c r="AG31" s="797"/>
      <c r="AH31" s="110"/>
      <c r="AI31" s="110"/>
      <c r="AJ31" s="110"/>
      <c r="AK31" s="110"/>
      <c r="AL31" s="110"/>
    </row>
    <row r="32" spans="1:38" ht="17.2" customHeight="1">
      <c r="A32" s="373">
        <f t="shared" si="1"/>
        <v>30</v>
      </c>
      <c r="B32" s="374"/>
      <c r="C32" s="375"/>
      <c r="D32" s="376"/>
      <c r="E32" s="374"/>
      <c r="F32" s="374"/>
      <c r="G32" s="377" t="str">
        <f>IF(Tabela16[[#This Row],[Value]]="","",IF(Tabela16[[#This Row],[Institution**]]="","Alert: Fill in Institution",IF('[3]6.Other Exp. Categories'!$B32="M","Note: impute in DPD charging costs for presenting papers at conferences",IF('[3]6.Other Exp. Categories'!$B32="SC","Note: Impute in AQ? SC needs validation from FCiência.ID",IF('[3]6.Other Exp. Categories'!$B32="AE","Note: Limited to a maximum of 10% of the total eligible project expenses",IF(Tabela16[[#This Row],[Expense Category*]]="RH",P48,""))))))</f>
        <v/>
      </c>
      <c r="I32" s="110"/>
      <c r="J32" s="110"/>
      <c r="K32" s="110"/>
      <c r="L32" s="110"/>
      <c r="T32" s="110"/>
      <c r="U32" s="463" t="s">
        <v>870</v>
      </c>
      <c r="V32" s="440" t="str">
        <f>+V2</f>
        <v/>
      </c>
      <c r="W32" s="440">
        <f t="shared" ref="W32:AG32" si="3">+W2</f>
        <v>0</v>
      </c>
      <c r="X32" s="440">
        <f t="shared" si="3"/>
        <v>0</v>
      </c>
      <c r="Y32" s="440">
        <f t="shared" si="3"/>
        <v>0</v>
      </c>
      <c r="Z32" s="440">
        <f t="shared" si="3"/>
        <v>0</v>
      </c>
      <c r="AA32" s="440">
        <f t="shared" si="3"/>
        <v>0</v>
      </c>
      <c r="AB32" s="440">
        <f t="shared" si="3"/>
        <v>0</v>
      </c>
      <c r="AC32" s="440">
        <f t="shared" si="3"/>
        <v>0</v>
      </c>
      <c r="AD32" s="440">
        <f t="shared" si="3"/>
        <v>0</v>
      </c>
      <c r="AE32" s="440">
        <f t="shared" si="3"/>
        <v>0</v>
      </c>
      <c r="AF32" s="440">
        <f t="shared" si="3"/>
        <v>0</v>
      </c>
      <c r="AG32" s="440" t="str">
        <f t="shared" si="3"/>
        <v>Total</v>
      </c>
      <c r="AH32" s="110"/>
      <c r="AI32" s="110"/>
      <c r="AJ32" s="110"/>
      <c r="AK32" s="110"/>
      <c r="AL32" s="110"/>
    </row>
    <row r="33" spans="1:38" ht="17.2" customHeight="1">
      <c r="A33" s="373">
        <f t="shared" si="1"/>
        <v>31</v>
      </c>
      <c r="B33" s="374"/>
      <c r="C33" s="375"/>
      <c r="D33" s="376"/>
      <c r="E33" s="374"/>
      <c r="F33" s="374"/>
      <c r="G33" s="377" t="str">
        <f>IF(Tabela16[[#This Row],[Value]]="","",IF(Tabela16[[#This Row],[Institution**]]="","Alert: Fill in Institution",IF('[3]6.Other Exp. Categories'!$B33="M","Note: impute in DPD charging costs for presenting papers at conferences",IF('[3]6.Other Exp. Categories'!$B33="SC","Note: Impute in AQ? SC needs validation from FCiência.ID",IF('[3]6.Other Exp. Categories'!$B33="AE","Note: Limited to a maximum of 10% of the total eligible project expenses",IF(Tabela16[[#This Row],[Expense Category*]]="RH",P49,""))))))</f>
        <v/>
      </c>
      <c r="I33" s="110"/>
      <c r="J33" s="110"/>
      <c r="K33" s="110"/>
      <c r="L33" s="110"/>
      <c r="T33" s="110"/>
      <c r="U33" s="378" t="s">
        <v>39</v>
      </c>
      <c r="V33" s="464" t="e">
        <f ca="1">SUMIFS(Tabela16[Value],Tabela16[Expense Category*],$U33,Tabela16[Institution**],V$32)+'4.Team'!CB39+'4.Team'!CB48</f>
        <v>#N/A</v>
      </c>
      <c r="W33" s="464">
        <f>SUMIFS(Tabela16[Value],Tabela16[Expense Category*],$U33,Tabela16[Institution**],W$32)</f>
        <v>0</v>
      </c>
      <c r="X33" s="464">
        <f>SUMIFS(Tabela16[Value],Tabela16[Expense Category*],$U33,Tabela16[Institution**],X$32)</f>
        <v>0</v>
      </c>
      <c r="Y33" s="464">
        <f>SUMIFS(Tabela16[Value],Tabela16[Expense Category*],$U33,Tabela16[Institution**],Y$32)</f>
        <v>0</v>
      </c>
      <c r="Z33" s="464">
        <f>SUMIFS(Tabela16[Value],Tabela16[Expense Category*],$U33,Tabela16[Institution**],Z$32)</f>
        <v>0</v>
      </c>
      <c r="AA33" s="464">
        <f>SUMIFS(Tabela16[Value],Tabela16[Expense Category*],$U33,Tabela16[Institution**],AA$32)</f>
        <v>0</v>
      </c>
      <c r="AB33" s="464">
        <f>SUMIFS(Tabela16[Value],Tabela16[Expense Category*],$U33,Tabela16[Institution**],AB$32)</f>
        <v>0</v>
      </c>
      <c r="AC33" s="464">
        <f>SUMIFS(Tabela16[Value],Tabela16[Expense Category*],$U33,Tabela16[Institution**],AC$32)</f>
        <v>0</v>
      </c>
      <c r="AD33" s="464">
        <f>SUMIFS(Tabela16[Value],Tabela16[Expense Category*],$U33,Tabela16[Institution**],AD$32)</f>
        <v>0</v>
      </c>
      <c r="AE33" s="464">
        <f>SUMIFS(Tabela16[Value],Tabela16[Expense Category*],$U33,Tabela16[Institution**],AE$32)</f>
        <v>0</v>
      </c>
      <c r="AF33" s="464">
        <f>SUMIFS(Tabela16[Value],Tabela16[Expense Category*],$U33,Tabela16[Institution**],AF$32)</f>
        <v>0</v>
      </c>
      <c r="AG33" s="464" t="e">
        <f ca="1">SUM(V33:AF33)</f>
        <v>#N/A</v>
      </c>
      <c r="AH33" s="110"/>
      <c r="AI33" s="110"/>
      <c r="AJ33" s="110"/>
      <c r="AK33" s="110"/>
      <c r="AL33" s="110"/>
    </row>
    <row r="34" spans="1:38" ht="17.2" customHeight="1">
      <c r="A34" s="373">
        <f t="shared" si="1"/>
        <v>32</v>
      </c>
      <c r="B34" s="374"/>
      <c r="C34" s="375"/>
      <c r="D34" s="376"/>
      <c r="E34" s="374"/>
      <c r="F34" s="374"/>
      <c r="G34" s="377" t="str">
        <f>IF(Tabela16[[#This Row],[Value]]="","",IF(Tabela16[[#This Row],[Institution**]]="","Alert: Fill in Institution",IF('[3]6.Other Exp. Categories'!$B34="M","Note: impute in DPD charging costs for presenting papers at conferences",IF('[3]6.Other Exp. Categories'!$B34="SC","Note: Impute in AQ? SC needs validation from FCiência.ID",IF('[3]6.Other Exp. Categories'!$B34="AE","Note: Limited to a maximum of 10% of the total eligible project expenses",IF(Tabela16[[#This Row],[Expense Category*]]="RH",P50,""))))))</f>
        <v/>
      </c>
      <c r="I34" s="110"/>
      <c r="J34" s="110"/>
      <c r="K34" s="110"/>
      <c r="L34" s="110"/>
      <c r="T34" s="110"/>
      <c r="U34" s="381" t="s">
        <v>4</v>
      </c>
      <c r="V34" s="464">
        <f>SUMIFS(Tabela16[Value],Tabela16[Expense Category*],$U34,Tabela16[Institution**],V$32)</f>
        <v>0</v>
      </c>
      <c r="W34" s="464">
        <f>SUMIFS(Tabela16[Value],Tabela16[Expense Category*],$U34,Tabela16[Institution**],W$32)</f>
        <v>0</v>
      </c>
      <c r="X34" s="464">
        <f>SUMIFS(Tabela16[Value],Tabela16[Expense Category*],$U34,Tabela16[Institution**],X$32)</f>
        <v>0</v>
      </c>
      <c r="Y34" s="464">
        <f>SUMIFS(Tabela16[Value],Tabela16[Expense Category*],$U34,Tabela16[Institution**],Y$32)</f>
        <v>0</v>
      </c>
      <c r="Z34" s="464">
        <f>SUMIFS(Tabela16[Value],Tabela16[Expense Category*],$U34,Tabela16[Institution**],Z$32)</f>
        <v>0</v>
      </c>
      <c r="AA34" s="464">
        <f>SUMIFS(Tabela16[Value],Tabela16[Expense Category*],$U34,Tabela16[Institution**],AA$32)</f>
        <v>0</v>
      </c>
      <c r="AB34" s="464">
        <f>SUMIFS(Tabela16[Value],Tabela16[Expense Category*],$U34,Tabela16[Institution**],AB$32)</f>
        <v>0</v>
      </c>
      <c r="AC34" s="464">
        <f>SUMIFS(Tabela16[Value],Tabela16[Expense Category*],$U34,Tabela16[Institution**],AC$32)</f>
        <v>0</v>
      </c>
      <c r="AD34" s="464">
        <f>SUMIFS(Tabela16[Value],Tabela16[Expense Category*],$U34,Tabela16[Institution**],AD$32)</f>
        <v>0</v>
      </c>
      <c r="AE34" s="464">
        <f>SUMIFS(Tabela16[Value],Tabela16[Expense Category*],$U34,Tabela16[Institution**],AE$32)</f>
        <v>0</v>
      </c>
      <c r="AF34" s="464">
        <f>SUMIFS(Tabela16[Value],Tabela16[Expense Category*],$U34,Tabela16[Institution**],AF$32)</f>
        <v>0</v>
      </c>
      <c r="AG34" s="464">
        <f t="shared" ref="AG34:AG39" si="4">SUM(V34:AF34)</f>
        <v>0</v>
      </c>
      <c r="AH34" s="110"/>
      <c r="AI34" s="110"/>
      <c r="AJ34" s="110"/>
      <c r="AK34" s="110"/>
      <c r="AL34" s="110"/>
    </row>
    <row r="35" spans="1:38" ht="17.2" customHeight="1">
      <c r="A35" s="373">
        <f t="shared" si="1"/>
        <v>33</v>
      </c>
      <c r="B35" s="374"/>
      <c r="C35" s="375"/>
      <c r="D35" s="376"/>
      <c r="E35" s="374"/>
      <c r="F35" s="374"/>
      <c r="G35" s="377" t="str">
        <f>IF(Tabela16[[#This Row],[Value]]="","",IF(Tabela16[[#This Row],[Institution**]]="","Alert: Fill in Institution",IF('[3]6.Other Exp. Categories'!$B35="M","Note: impute in DPD charging costs for presenting papers at conferences",IF('[3]6.Other Exp. Categories'!$B35="SC","Note: Impute in AQ? SC needs validation from FCiência.ID",IF('[3]6.Other Exp. Categories'!$B35="AE","Note: Limited to a maximum of 10% of the total eligible project expenses",IF(Tabela16[[#This Row],[Expense Category*]]="RH",P51,""))))))</f>
        <v/>
      </c>
      <c r="I35" s="110"/>
      <c r="J35" s="110"/>
      <c r="K35" s="110"/>
      <c r="L35" s="110"/>
      <c r="T35" s="110"/>
      <c r="U35" s="381" t="s">
        <v>40</v>
      </c>
      <c r="V35" s="464">
        <f>SUMIFS(Tabela16[Value],Tabela16[Expense Category*],$U35,Tabela16[Institution**],V$32)</f>
        <v>0</v>
      </c>
      <c r="W35" s="464">
        <f>SUMIFS(Tabela16[Value],Tabela16[Expense Category*],$U35,Tabela16[Institution**],W$32)</f>
        <v>0</v>
      </c>
      <c r="X35" s="464">
        <f>SUMIFS(Tabela16[Value],Tabela16[Expense Category*],$U35,Tabela16[Institution**],X$32)</f>
        <v>0</v>
      </c>
      <c r="Y35" s="464">
        <f>SUMIFS(Tabela16[Value],Tabela16[Expense Category*],$U35,Tabela16[Institution**],Y$32)</f>
        <v>0</v>
      </c>
      <c r="Z35" s="464">
        <f>SUMIFS(Tabela16[Value],Tabela16[Expense Category*],$U35,Tabela16[Institution**],Z$32)</f>
        <v>0</v>
      </c>
      <c r="AA35" s="464">
        <f>SUMIFS(Tabela16[Value],Tabela16[Expense Category*],$U35,Tabela16[Institution**],AA$32)</f>
        <v>0</v>
      </c>
      <c r="AB35" s="464">
        <f>SUMIFS(Tabela16[Value],Tabela16[Expense Category*],$U35,Tabela16[Institution**],AB$32)</f>
        <v>0</v>
      </c>
      <c r="AC35" s="464">
        <f>SUMIFS(Tabela16[Value],Tabela16[Expense Category*],$U35,Tabela16[Institution**],AC$32)</f>
        <v>0</v>
      </c>
      <c r="AD35" s="464">
        <f>SUMIFS(Tabela16[Value],Tabela16[Expense Category*],$U35,Tabela16[Institution**],AD$32)</f>
        <v>0</v>
      </c>
      <c r="AE35" s="464">
        <f>SUMIFS(Tabela16[Value],Tabela16[Expense Category*],$U35,Tabela16[Institution**],AE$32)</f>
        <v>0</v>
      </c>
      <c r="AF35" s="464">
        <f>SUMIFS(Tabela16[Value],Tabela16[Expense Category*],$U35,Tabela16[Institution**],AF$32)</f>
        <v>0</v>
      </c>
      <c r="AG35" s="464">
        <f t="shared" si="4"/>
        <v>0</v>
      </c>
      <c r="AH35" s="110"/>
      <c r="AI35" s="110"/>
      <c r="AJ35" s="110"/>
      <c r="AK35" s="110"/>
      <c r="AL35" s="110"/>
    </row>
    <row r="36" spans="1:38" ht="17.2" customHeight="1">
      <c r="A36" s="373">
        <f t="shared" si="1"/>
        <v>34</v>
      </c>
      <c r="B36" s="374"/>
      <c r="C36" s="375"/>
      <c r="D36" s="376"/>
      <c r="E36" s="374"/>
      <c r="F36" s="374"/>
      <c r="G36" s="377" t="str">
        <f>IF(Tabela16[[#This Row],[Value]]="","",IF(Tabela16[[#This Row],[Institution**]]="","Alert: Fill in Institution",IF('[3]6.Other Exp. Categories'!$B36="M","Note: impute in DPD charging costs for presenting papers at conferences",IF('[3]6.Other Exp. Categories'!$B36="SC","Note: Impute in AQ? SC needs validation from FCiência.ID",IF('[3]6.Other Exp. Categories'!$B36="AE","Note: Limited to a maximum of 10% of the total eligible project expenses",IF(Tabela16[[#This Row],[Expense Category*]]="RH",P52,""))))))</f>
        <v/>
      </c>
      <c r="I36" s="110"/>
      <c r="J36" s="110"/>
      <c r="K36" s="110"/>
      <c r="L36" s="110"/>
      <c r="T36" s="110"/>
      <c r="U36" s="381" t="s">
        <v>471</v>
      </c>
      <c r="V36" s="464">
        <f>SUMIFS(Tabela16[Value],Tabela16[Expense Category*],$U36,Tabela16[Institution**],V$32)</f>
        <v>0</v>
      </c>
      <c r="W36" s="464">
        <f>SUMIFS(Tabela16[Value],Tabela16[Expense Category*],$U36,Tabela16[Institution**],W$32)</f>
        <v>0</v>
      </c>
      <c r="X36" s="464">
        <f>SUMIFS(Tabela16[Value],Tabela16[Expense Category*],$U36,Tabela16[Institution**],X$32)</f>
        <v>0</v>
      </c>
      <c r="Y36" s="464">
        <f>SUMIFS(Tabela16[Value],Tabela16[Expense Category*],$U36,Tabela16[Institution**],Y$32)</f>
        <v>0</v>
      </c>
      <c r="Z36" s="464">
        <f>SUMIFS(Tabela16[Value],Tabela16[Expense Category*],$U36,Tabela16[Institution**],Z$32)</f>
        <v>0</v>
      </c>
      <c r="AA36" s="464">
        <f>SUMIFS(Tabela16[Value],Tabela16[Expense Category*],$U36,Tabela16[Institution**],AA$32)</f>
        <v>0</v>
      </c>
      <c r="AB36" s="464">
        <f>SUMIFS(Tabela16[Value],Tabela16[Expense Category*],$U36,Tabela16[Institution**],AB$32)</f>
        <v>0</v>
      </c>
      <c r="AC36" s="464">
        <f>SUMIFS(Tabela16[Value],Tabela16[Expense Category*],$U36,Tabela16[Institution**],AC$32)</f>
        <v>0</v>
      </c>
      <c r="AD36" s="464">
        <f>SUMIFS(Tabela16[Value],Tabela16[Expense Category*],$U36,Tabela16[Institution**],AD$32)</f>
        <v>0</v>
      </c>
      <c r="AE36" s="464">
        <f>SUMIFS(Tabela16[Value],Tabela16[Expense Category*],$U36,Tabela16[Institution**],AE$32)</f>
        <v>0</v>
      </c>
      <c r="AF36" s="464">
        <f>SUMIFS(Tabela16[Value],Tabela16[Expense Category*],$U36,Tabela16[Institution**],AF$32)</f>
        <v>0</v>
      </c>
      <c r="AG36" s="464">
        <f t="shared" si="4"/>
        <v>0</v>
      </c>
      <c r="AH36" s="110"/>
      <c r="AI36" s="110"/>
      <c r="AJ36" s="110"/>
      <c r="AK36" s="110"/>
      <c r="AL36" s="110"/>
    </row>
    <row r="37" spans="1:38" ht="17.2" customHeight="1">
      <c r="A37" s="373">
        <f t="shared" si="1"/>
        <v>35</v>
      </c>
      <c r="B37" s="374"/>
      <c r="C37" s="375"/>
      <c r="D37" s="376"/>
      <c r="E37" s="374"/>
      <c r="F37" s="374"/>
      <c r="G37" s="377" t="str">
        <f>IF(Tabela16[[#This Row],[Value]]="","",IF(Tabela16[[#This Row],[Institution**]]="","Alert: Fill in Institution",IF('[3]6.Other Exp. Categories'!$B37="M","Note: impute in DPD charging costs for presenting papers at conferences",IF('[3]6.Other Exp. Categories'!$B37="SC","Note: Impute in AQ? SC needs validation from FCiência.ID",IF('[3]6.Other Exp. Categories'!$B37="AE","Note: Limited to a maximum of 10% of the total eligible project expenses",IF(Tabela16[[#This Row],[Expense Category*]]="RH",P53,""))))))</f>
        <v/>
      </c>
      <c r="I37" s="110"/>
      <c r="J37" s="110"/>
      <c r="K37" s="110"/>
      <c r="L37" s="110"/>
      <c r="T37" s="110"/>
      <c r="U37" s="381" t="s">
        <v>43</v>
      </c>
      <c r="V37" s="464">
        <f>SUMIFS(Tabela16[Value],Tabela16[Expense Category*],$U37,Tabela16[Institution**],V$32)</f>
        <v>0</v>
      </c>
      <c r="W37" s="464">
        <f>SUMIFS(Tabela16[Value],Tabela16[Expense Category*],$U37,Tabela16[Institution**],W$32)</f>
        <v>0</v>
      </c>
      <c r="X37" s="464">
        <f>SUMIFS(Tabela16[Value],Tabela16[Expense Category*],$U37,Tabela16[Institution**],X$32)</f>
        <v>0</v>
      </c>
      <c r="Y37" s="464">
        <f>SUMIFS(Tabela16[Value],Tabela16[Expense Category*],$U37,Tabela16[Institution**],Y$32)</f>
        <v>0</v>
      </c>
      <c r="Z37" s="464">
        <f>SUMIFS(Tabela16[Value],Tabela16[Expense Category*],$U37,Tabela16[Institution**],Z$32)</f>
        <v>0</v>
      </c>
      <c r="AA37" s="464">
        <f>SUMIFS(Tabela16[Value],Tabela16[Expense Category*],$U37,Tabela16[Institution**],AA$32)</f>
        <v>0</v>
      </c>
      <c r="AB37" s="464">
        <f>SUMIFS(Tabela16[Value],Tabela16[Expense Category*],$U37,Tabela16[Institution**],AB$32)</f>
        <v>0</v>
      </c>
      <c r="AC37" s="464">
        <f>SUMIFS(Tabela16[Value],Tabela16[Expense Category*],$U37,Tabela16[Institution**],AC$32)</f>
        <v>0</v>
      </c>
      <c r="AD37" s="464">
        <f>SUMIFS(Tabela16[Value],Tabela16[Expense Category*],$U37,Tabela16[Institution**],AD$32)</f>
        <v>0</v>
      </c>
      <c r="AE37" s="464">
        <f>SUMIFS(Tabela16[Value],Tabela16[Expense Category*],$U37,Tabela16[Institution**],AE$32)</f>
        <v>0</v>
      </c>
      <c r="AF37" s="464">
        <f>SUMIFS(Tabela16[Value],Tabela16[Expense Category*],$U37,Tabela16[Institution**],AF$32)</f>
        <v>0</v>
      </c>
      <c r="AG37" s="464">
        <f t="shared" si="4"/>
        <v>0</v>
      </c>
      <c r="AH37" s="110"/>
      <c r="AI37" s="110"/>
      <c r="AJ37" s="110"/>
      <c r="AK37" s="110"/>
      <c r="AL37" s="110"/>
    </row>
    <row r="38" spans="1:38" ht="17.2" customHeight="1">
      <c r="A38" s="373">
        <f t="shared" si="1"/>
        <v>36</v>
      </c>
      <c r="B38" s="374"/>
      <c r="C38" s="375"/>
      <c r="D38" s="376"/>
      <c r="E38" s="374"/>
      <c r="F38" s="374"/>
      <c r="G38" s="377" t="str">
        <f>IF(Tabela16[[#This Row],[Value]]="","",IF(Tabela16[[#This Row],[Institution**]]="","Alert: Fill in Institution",IF('[3]6.Other Exp. Categories'!$B38="M","Note: impute in DPD charging costs for presenting papers at conferences",IF('[3]6.Other Exp. Categories'!$B38="SC","Note: Impute in AQ? SC needs validation from FCiência.ID",IF('[3]6.Other Exp. Categories'!$B38="AE","Note: Limited to a maximum of 10% of the total eligible project expenses",IF(Tabela16[[#This Row],[Expense Category*]]="RH",P54,""))))))</f>
        <v/>
      </c>
      <c r="I38" s="110"/>
      <c r="J38" s="110"/>
      <c r="K38" s="110"/>
      <c r="L38" s="110"/>
      <c r="T38" s="110"/>
      <c r="U38" s="381" t="s">
        <v>42</v>
      </c>
      <c r="V38" s="464">
        <f>SUMIFS(Tabela16[Value],Tabela16[Expense Category*],$U38,Tabela16[Institution**],V$32)</f>
        <v>0</v>
      </c>
      <c r="W38" s="464">
        <f>SUMIFS(Tabela16[Value],Tabela16[Expense Category*],$U38,Tabela16[Institution**],W$32)</f>
        <v>0</v>
      </c>
      <c r="X38" s="464">
        <f>SUMIFS(Tabela16[Value],Tabela16[Expense Category*],$U38,Tabela16[Institution**],X$32)</f>
        <v>0</v>
      </c>
      <c r="Y38" s="464">
        <f>SUMIFS(Tabela16[Value],Tabela16[Expense Category*],$U38,Tabela16[Institution**],Y$32)</f>
        <v>0</v>
      </c>
      <c r="Z38" s="464">
        <f>SUMIFS(Tabela16[Value],Tabela16[Expense Category*],$U38,Tabela16[Institution**],Z$32)</f>
        <v>0</v>
      </c>
      <c r="AA38" s="464">
        <f>SUMIFS(Tabela16[Value],Tabela16[Expense Category*],$U38,Tabela16[Institution**],AA$32)</f>
        <v>0</v>
      </c>
      <c r="AB38" s="464">
        <f>SUMIFS(Tabela16[Value],Tabela16[Expense Category*],$U38,Tabela16[Institution**],AB$32)</f>
        <v>0</v>
      </c>
      <c r="AC38" s="464">
        <f>SUMIFS(Tabela16[Value],Tabela16[Expense Category*],$U38,Tabela16[Institution**],AC$32)</f>
        <v>0</v>
      </c>
      <c r="AD38" s="464">
        <f>SUMIFS(Tabela16[Value],Tabela16[Expense Category*],$U38,Tabela16[Institution**],AD$32)</f>
        <v>0</v>
      </c>
      <c r="AE38" s="464">
        <f>SUMIFS(Tabela16[Value],Tabela16[Expense Category*],$U38,Tabela16[Institution**],AE$32)</f>
        <v>0</v>
      </c>
      <c r="AF38" s="464">
        <f>SUMIFS(Tabela16[Value],Tabela16[Expense Category*],$U38,Tabela16[Institution**],AF$32)</f>
        <v>0</v>
      </c>
      <c r="AG38" s="464">
        <f t="shared" si="4"/>
        <v>0</v>
      </c>
      <c r="AH38" s="110"/>
      <c r="AI38" s="110"/>
      <c r="AJ38" s="110"/>
      <c r="AK38" s="110"/>
      <c r="AL38" s="110"/>
    </row>
    <row r="39" spans="1:38" ht="17.2" customHeight="1">
      <c r="A39" s="373">
        <f t="shared" si="1"/>
        <v>37</v>
      </c>
      <c r="B39" s="374"/>
      <c r="C39" s="375"/>
      <c r="D39" s="376"/>
      <c r="E39" s="374"/>
      <c r="F39" s="374"/>
      <c r="G39" s="377" t="str">
        <f>IF(Tabela16[[#This Row],[Value]]="","",IF(Tabela16[[#This Row],[Institution**]]="","Alert: Fill in Institution",IF('[3]6.Other Exp. Categories'!$B39="M","Note: impute in DPD charging costs for presenting papers at conferences",IF('[3]6.Other Exp. Categories'!$B39="SC","Note: Impute in AQ? SC needs validation from FCiência.ID",IF('[3]6.Other Exp. Categories'!$B39="AE","Note: Limited to a maximum of 10% of the total eligible project expenses",IF(Tabela16[[#This Row],[Expense Category*]]="RH",P55,""))))))</f>
        <v/>
      </c>
      <c r="I39" s="110"/>
      <c r="J39" s="110"/>
      <c r="K39" s="110"/>
      <c r="L39" s="110"/>
      <c r="T39" s="110"/>
      <c r="U39" s="381" t="s">
        <v>41</v>
      </c>
      <c r="V39" s="464">
        <f>SUMIFS(Tabela16[Value],Tabela16[Expense Category*],$U39,Tabela16[Institution**],V$32)+'5.Equipments'!AG23</f>
        <v>0</v>
      </c>
      <c r="W39" s="464">
        <f>SUMIFS(Tabela16[Value],Tabela16[Expense Category*],$U39,Tabela16[Institution**],W$32)</f>
        <v>0</v>
      </c>
      <c r="X39" s="464">
        <f>SUMIFS(Tabela16[Value],Tabela16[Expense Category*],$U39,Tabela16[Institution**],X$32)</f>
        <v>0</v>
      </c>
      <c r="Y39" s="464">
        <f>SUMIFS(Tabela16[Value],Tabela16[Expense Category*],$U39,Tabela16[Institution**],Y$32)</f>
        <v>0</v>
      </c>
      <c r="Z39" s="464">
        <f>SUMIFS(Tabela16[Value],Tabela16[Expense Category*],$U39,Tabela16[Institution**],Z$32)</f>
        <v>0</v>
      </c>
      <c r="AA39" s="464">
        <f>SUMIFS(Tabela16[Value],Tabela16[Expense Category*],$U39,Tabela16[Institution**],AA$32)</f>
        <v>0</v>
      </c>
      <c r="AB39" s="464">
        <f>SUMIFS(Tabela16[Value],Tabela16[Expense Category*],$U39,Tabela16[Institution**],AB$32)</f>
        <v>0</v>
      </c>
      <c r="AC39" s="464">
        <f>SUMIFS(Tabela16[Value],Tabela16[Expense Category*],$U39,Tabela16[Institution**],AC$32)</f>
        <v>0</v>
      </c>
      <c r="AD39" s="464">
        <f>SUMIFS(Tabela16[Value],Tabela16[Expense Category*],$U39,Tabela16[Institution**],AD$32)</f>
        <v>0</v>
      </c>
      <c r="AE39" s="464">
        <f>SUMIFS(Tabela16[Value],Tabela16[Expense Category*],$U39,Tabela16[Institution**],AE$32)</f>
        <v>0</v>
      </c>
      <c r="AF39" s="464">
        <f>SUMIFS(Tabela16[Value],Tabela16[Expense Category*],$U39,Tabela16[Institution**],AF$32)</f>
        <v>0</v>
      </c>
      <c r="AG39" s="464">
        <f t="shared" si="4"/>
        <v>0</v>
      </c>
      <c r="AH39" s="110"/>
      <c r="AI39" s="110"/>
      <c r="AJ39" s="110"/>
      <c r="AK39" s="110"/>
      <c r="AL39" s="110"/>
    </row>
    <row r="40" spans="1:38" ht="17.2" customHeight="1">
      <c r="A40" s="373">
        <f t="shared" si="1"/>
        <v>38</v>
      </c>
      <c r="B40" s="374"/>
      <c r="C40" s="375"/>
      <c r="D40" s="376"/>
      <c r="E40" s="374"/>
      <c r="F40" s="374"/>
      <c r="G40" s="377" t="str">
        <f>IF(Tabela16[[#This Row],[Value]]="","",IF(Tabela16[[#This Row],[Institution**]]="","Alert: Fill in Institution",IF('[3]6.Other Exp. Categories'!$B40="M","Note: impute in DPD charging costs for presenting papers at conferences",IF('[3]6.Other Exp. Categories'!$B40="SC","Note: Impute in AQ? SC needs validation from FCiência.ID",IF('[3]6.Other Exp. Categories'!$B40="AE","Note: Limited to a maximum of 10% of the total eligible project expenses",IF(Tabela16[[#This Row],[Expense Category*]]="RH",P56,""))))))</f>
        <v/>
      </c>
      <c r="I40" s="110"/>
      <c r="J40" s="110"/>
      <c r="K40" s="110"/>
      <c r="L40" s="110"/>
      <c r="T40" s="110"/>
      <c r="U40" s="381" t="s">
        <v>47</v>
      </c>
      <c r="V40" s="464">
        <f>SUMIFS(Tabela16[Value],Tabela16[Expense Category*],$U40,Tabela16[Institution**],V$32)</f>
        <v>0</v>
      </c>
      <c r="W40" s="464">
        <f>SUMIFS(Tabela16[Value],Tabela16[Expense Category*],$U40,Tabela16[Institution**],W$32)</f>
        <v>0</v>
      </c>
      <c r="X40" s="464">
        <f>SUMIFS(Tabela16[Value],Tabela16[Expense Category*],$U40,Tabela16[Institution**],X$32)</f>
        <v>0</v>
      </c>
      <c r="Y40" s="464">
        <f>SUMIFS(Tabela16[Value],Tabela16[Expense Category*],$U40,Tabela16[Institution**],Y$32)</f>
        <v>0</v>
      </c>
      <c r="Z40" s="464">
        <f>SUMIFS(Tabela16[Value],Tabela16[Expense Category*],$U40,Tabela16[Institution**],Z$32)</f>
        <v>0</v>
      </c>
      <c r="AA40" s="464">
        <f>SUMIFS(Tabela16[Value],Tabela16[Expense Category*],$U40,Tabela16[Institution**],AA$32)</f>
        <v>0</v>
      </c>
      <c r="AB40" s="464">
        <f>SUMIFS(Tabela16[Value],Tabela16[Expense Category*],$U40,Tabela16[Institution**],AB$32)</f>
        <v>0</v>
      </c>
      <c r="AC40" s="464">
        <f>SUMIFS(Tabela16[Value],Tabela16[Expense Category*],$U40,Tabela16[Institution**],AC$32)</f>
        <v>0</v>
      </c>
      <c r="AD40" s="464">
        <f>SUMIFS(Tabela16[Value],Tabela16[Expense Category*],$U40,Tabela16[Institution**],AD$32)</f>
        <v>0</v>
      </c>
      <c r="AE40" s="464">
        <f>SUMIFS(Tabela16[Value],Tabela16[Expense Category*],$U40,Tabela16[Institution**],AE$32)</f>
        <v>0</v>
      </c>
      <c r="AF40" s="464">
        <f>SUMIFS(Tabela16[Value],Tabela16[Expense Category*],$U40,Tabela16[Institution**],AF$32)</f>
        <v>0</v>
      </c>
      <c r="AG40" s="464">
        <f>SUM(V40:AF40)</f>
        <v>0</v>
      </c>
      <c r="AH40" s="110"/>
      <c r="AI40" s="110"/>
      <c r="AJ40" s="110"/>
      <c r="AK40" s="110"/>
      <c r="AL40" s="110"/>
    </row>
    <row r="41" spans="1:38" ht="17.2" customHeight="1">
      <c r="A41" s="373">
        <f t="shared" si="1"/>
        <v>39</v>
      </c>
      <c r="B41" s="374"/>
      <c r="C41" s="375"/>
      <c r="D41" s="376"/>
      <c r="E41" s="374"/>
      <c r="F41" s="374"/>
      <c r="G41" s="377" t="str">
        <f>IF(Tabela16[[#This Row],[Value]]="","",IF(Tabela16[[#This Row],[Institution**]]="","Alert: Fill in Institution",IF('[3]6.Other Exp. Categories'!$B41="M","Note: impute in DPD charging costs for presenting papers at conferences",IF('[3]6.Other Exp. Categories'!$B41="SC","Note: Impute in AQ? SC needs validation from FCiência.ID",IF('[3]6.Other Exp. Categories'!$B41="AE","Note: Limited to a maximum of 10% of the total eligible project expenses",IF(Tabela16[[#This Row],[Expense Category*]]="RH",P57,""))))))</f>
        <v/>
      </c>
      <c r="I41" s="110"/>
      <c r="J41" s="110"/>
      <c r="K41" s="110"/>
      <c r="L41" s="110"/>
      <c r="T41" s="110"/>
      <c r="U41" s="382" t="s">
        <v>880</v>
      </c>
      <c r="V41" s="464" t="e">
        <f ca="1">IF('1.G.Data'!$C$7="Yes",SUM(V33:V40)*Info!$B$8,SUM(V33:V40)*Info!$C$8)</f>
        <v>#N/A</v>
      </c>
      <c r="W41" s="464">
        <f>IF('1.G.Data'!$C$7="Yes",SUM(W33:W40)*Info!$B$8,SUM(W33:W40)*Info!$C$8)</f>
        <v>0</v>
      </c>
      <c r="X41" s="464">
        <f>IF('1.G.Data'!$C$7="Yes",SUM(X33:X40)*Info!$B$8,SUM(X33:X40)*Info!$C$8)</f>
        <v>0</v>
      </c>
      <c r="Y41" s="464">
        <f>IF('1.G.Data'!$C$7="Yes",SUM(Y33:Y40)*Info!$B$8,SUM(Y33:Y40)*Info!$C$8)</f>
        <v>0</v>
      </c>
      <c r="Z41" s="464">
        <f>IF('1.G.Data'!$C$7="Yes",SUM(Z33:Z40)*Info!$B$8,SUM(Z33:Z40)*Info!$C$8)</f>
        <v>0</v>
      </c>
      <c r="AA41" s="464">
        <f>IF('1.G.Data'!$C$7="Yes",SUM(AA33:AA40)*Info!$B$8,SUM(AA33:AA40)*Info!$C$8)</f>
        <v>0</v>
      </c>
      <c r="AB41" s="464">
        <f>IF('1.G.Data'!$C$7="Yes",SUM(AB33:AB40)*Info!$B$8,SUM(AB33:AB40)*Info!$C$8)</f>
        <v>0</v>
      </c>
      <c r="AC41" s="464">
        <f>IF('1.G.Data'!$C$7="Yes",SUM(AC33:AC40)*Info!$B$8,SUM(AC33:AC40)*Info!$C$8)</f>
        <v>0</v>
      </c>
      <c r="AD41" s="464">
        <f>IF('1.G.Data'!$C$7="Yes",SUM(AD33:AD40)*Info!$B$8,SUM(AD33:AD40)*Info!$C$8)</f>
        <v>0</v>
      </c>
      <c r="AE41" s="464">
        <f>IF('1.G.Data'!$C$7="Yes",SUM(AE33:AE40)*Info!$B$8,SUM(AE33:AE40)*Info!$C$8)</f>
        <v>0</v>
      </c>
      <c r="AF41" s="464">
        <f>IF('1.G.Data'!$C$7="Yes",SUM(AF33:AF40)*Info!$B$8,SUM(AF33:AF40)*Info!$C$8)</f>
        <v>0</v>
      </c>
      <c r="AG41" s="464" t="e">
        <f ca="1">SUM(V41:AF41)</f>
        <v>#N/A</v>
      </c>
      <c r="AH41" s="110"/>
      <c r="AI41" s="110"/>
      <c r="AJ41" s="110"/>
      <c r="AK41" s="110"/>
      <c r="AL41" s="110"/>
    </row>
    <row r="42" spans="1:38" ht="17.2" customHeight="1">
      <c r="A42" s="373">
        <f t="shared" si="1"/>
        <v>40</v>
      </c>
      <c r="B42" s="374"/>
      <c r="C42" s="375"/>
      <c r="D42" s="376"/>
      <c r="E42" s="374"/>
      <c r="F42" s="374"/>
      <c r="G42" s="377" t="str">
        <f>IF(Tabela16[[#This Row],[Value]]="","",IF(Tabela16[[#This Row],[Institution**]]="","Alert: Fill in Institution",IF('[3]6.Other Exp. Categories'!$B42="M","Note: impute in DPD charging costs for presenting papers at conferences",IF('[3]6.Other Exp. Categories'!$B42="SC","Note: Impute in AQ? SC needs validation from FCiência.ID",IF('[3]6.Other Exp. Categories'!$B42="AE","Note: Limited to a maximum of 10% of the total eligible project expenses",IF(Tabela16[[#This Row],[Expense Category*]]="RH",P58,""))))))</f>
        <v/>
      </c>
      <c r="I42" s="110"/>
      <c r="J42" s="110"/>
      <c r="K42" s="110"/>
      <c r="L42" s="110"/>
      <c r="T42" s="110"/>
      <c r="U42" s="465" t="s">
        <v>45</v>
      </c>
      <c r="V42" s="466" t="e">
        <f ca="1">SUM(V33:V41)</f>
        <v>#N/A</v>
      </c>
      <c r="W42" s="466">
        <f t="shared" ref="W42:AG42" si="5">SUM(W33:W41)</f>
        <v>0</v>
      </c>
      <c r="X42" s="466">
        <f t="shared" si="5"/>
        <v>0</v>
      </c>
      <c r="Y42" s="466">
        <f t="shared" si="5"/>
        <v>0</v>
      </c>
      <c r="Z42" s="466">
        <f t="shared" si="5"/>
        <v>0</v>
      </c>
      <c r="AA42" s="466">
        <f t="shared" si="5"/>
        <v>0</v>
      </c>
      <c r="AB42" s="466">
        <f t="shared" si="5"/>
        <v>0</v>
      </c>
      <c r="AC42" s="466">
        <f t="shared" si="5"/>
        <v>0</v>
      </c>
      <c r="AD42" s="466">
        <f t="shared" si="5"/>
        <v>0</v>
      </c>
      <c r="AE42" s="466">
        <f t="shared" si="5"/>
        <v>0</v>
      </c>
      <c r="AF42" s="466">
        <f t="shared" si="5"/>
        <v>0</v>
      </c>
      <c r="AG42" s="466" t="e">
        <f t="shared" ca="1" si="5"/>
        <v>#N/A</v>
      </c>
      <c r="AH42" s="110"/>
      <c r="AI42" s="110"/>
      <c r="AJ42" s="110"/>
      <c r="AK42" s="110"/>
      <c r="AL42" s="110"/>
    </row>
    <row r="43" spans="1:38" ht="17.2" customHeight="1">
      <c r="A43" s="373">
        <f t="shared" si="1"/>
        <v>41</v>
      </c>
      <c r="B43" s="374"/>
      <c r="C43" s="375"/>
      <c r="D43" s="376"/>
      <c r="E43" s="374"/>
      <c r="F43" s="374"/>
      <c r="G43" s="377" t="str">
        <f>IF(Tabela16[[#This Row],[Value]]="","",IF(Tabela16[[#This Row],[Institution**]]="","Alert: Fill in Institution",IF('[3]6.Other Exp. Categories'!$B43="M","Note: impute in DPD charging costs for presenting papers at conferences",IF('[3]6.Other Exp. Categories'!$B43="SC","Note: Impute in AQ? SC needs validation from FCiência.ID",IF('[3]6.Other Exp. Categories'!$B43="AE","Note: Limited to a maximum of 10% of the total eligible project expenses",IF(Tabela16[[#This Row],[Expense Category*]]="RH",P59,""))))))</f>
        <v/>
      </c>
      <c r="I43" s="110"/>
      <c r="J43" s="110"/>
      <c r="K43" s="110"/>
      <c r="L43" s="110"/>
      <c r="T43" s="110"/>
      <c r="U43" s="110"/>
      <c r="V43" s="110"/>
      <c r="W43" s="110"/>
      <c r="X43" s="110"/>
      <c r="Y43" s="110"/>
      <c r="Z43" s="110"/>
      <c r="AA43" s="110"/>
      <c r="AB43" s="110"/>
      <c r="AC43" s="110"/>
      <c r="AD43" s="110"/>
      <c r="AE43" s="110"/>
      <c r="AF43" s="110"/>
      <c r="AG43" s="110"/>
      <c r="AH43" s="110"/>
      <c r="AI43" s="110"/>
      <c r="AJ43" s="110"/>
      <c r="AK43" s="110"/>
      <c r="AL43" s="110"/>
    </row>
    <row r="44" spans="1:38" ht="17.2" customHeight="1">
      <c r="A44" s="373">
        <f t="shared" si="1"/>
        <v>42</v>
      </c>
      <c r="B44" s="374"/>
      <c r="C44" s="375"/>
      <c r="D44" s="376"/>
      <c r="E44" s="374"/>
      <c r="F44" s="374"/>
      <c r="G44" s="377" t="str">
        <f>IF(Tabela16[[#This Row],[Value]]="","",IF(Tabela16[[#This Row],[Institution**]]="","Alert: Fill in Institution",IF('[3]6.Other Exp. Categories'!$B44="M","Note: impute in DPD charging costs for presenting papers at conferences",IF('[3]6.Other Exp. Categories'!$B44="SC","Note: Impute in AQ? SC needs validation from FCiência.ID",IF('[3]6.Other Exp. Categories'!$B44="AE","Note: Limited to a maximum of 10% of the total eligible project expenses",IF(Tabela16[[#This Row],[Expense Category*]]="RH",P60,""))))))</f>
        <v/>
      </c>
      <c r="I44" s="110"/>
      <c r="J44" s="110"/>
      <c r="K44" s="110"/>
      <c r="L44" s="110"/>
      <c r="T44" s="110"/>
      <c r="U44" s="518" t="s">
        <v>97</v>
      </c>
      <c r="V44" s="519"/>
      <c r="W44" s="519"/>
      <c r="X44" s="110"/>
      <c r="Y44" s="110"/>
      <c r="Z44" s="110"/>
      <c r="AA44" s="110"/>
      <c r="AB44" s="110"/>
      <c r="AC44" s="110"/>
      <c r="AD44" s="110"/>
      <c r="AE44" s="110"/>
      <c r="AF44" s="110"/>
      <c r="AG44" s="110"/>
      <c r="AH44" s="110"/>
      <c r="AI44" s="110"/>
      <c r="AJ44" s="110"/>
      <c r="AK44" s="110"/>
      <c r="AL44" s="110"/>
    </row>
    <row r="45" spans="1:38" ht="17.2" customHeight="1">
      <c r="A45" s="373">
        <f t="shared" si="1"/>
        <v>43</v>
      </c>
      <c r="B45" s="374"/>
      <c r="C45" s="375"/>
      <c r="D45" s="376"/>
      <c r="E45" s="374"/>
      <c r="F45" s="374"/>
      <c r="G45" s="377" t="str">
        <f>IF(Tabela16[[#This Row],[Value]]="","",IF(Tabela16[[#This Row],[Institution**]]="","Alert: Fill in Institution",IF('[3]6.Other Exp. Categories'!$B45="M","Note: impute in DPD charging costs for presenting papers at conferences",IF('[3]6.Other Exp. Categories'!$B45="SC","Note: Impute in AQ? SC needs validation from FCiência.ID",IF('[3]6.Other Exp. Categories'!$B45="AE","Note: Limited to a maximum of 10% of the total eligible project expenses",IF(Tabela16[[#This Row],[Expense Category*]]="RH",P61,""))))))</f>
        <v/>
      </c>
      <c r="I45" s="110"/>
      <c r="J45" s="110"/>
      <c r="K45" s="110"/>
      <c r="L45" s="110"/>
      <c r="T45" s="110"/>
      <c r="U45" s="520" t="str">
        <f>+Info!B1</f>
        <v>Ficheiro Apoio_LUMP SUM_V2026.02.24</v>
      </c>
      <c r="V45" s="519"/>
      <c r="W45" s="519"/>
      <c r="X45" s="110"/>
      <c r="Y45" s="110"/>
      <c r="Z45" s="110"/>
      <c r="AA45" s="110"/>
      <c r="AB45" s="110"/>
      <c r="AC45" s="110"/>
      <c r="AD45" s="110"/>
      <c r="AE45" s="110"/>
      <c r="AF45" s="110"/>
      <c r="AG45" s="110"/>
      <c r="AH45" s="110"/>
      <c r="AI45" s="110"/>
      <c r="AJ45" s="110"/>
      <c r="AK45" s="110"/>
      <c r="AL45" s="110"/>
    </row>
    <row r="46" spans="1:38" ht="17.2" customHeight="1">
      <c r="A46" s="373">
        <f t="shared" si="1"/>
        <v>44</v>
      </c>
      <c r="B46" s="374"/>
      <c r="C46" s="375"/>
      <c r="D46" s="376"/>
      <c r="E46" s="374"/>
      <c r="F46" s="374"/>
      <c r="G46" s="377" t="str">
        <f>IF(Tabela16[[#This Row],[Value]]="","",IF(Tabela16[[#This Row],[Institution**]]="","Alert: Fill in Institution",IF('[3]6.Other Exp. Categories'!$B46="M","Note: impute in DPD charging costs for presenting papers at conferences",IF('[3]6.Other Exp. Categories'!$B46="SC","Note: Impute in AQ? SC needs validation from FCiência.ID",IF('[3]6.Other Exp. Categories'!$B46="AE","Note: Limited to a maximum of 10% of the total eligible project expenses",IF(Tabela16[[#This Row],[Expense Category*]]="RH",P62,""))))))</f>
        <v/>
      </c>
      <c r="I46" s="110"/>
      <c r="J46" s="110"/>
      <c r="K46" s="110"/>
      <c r="L46" s="110"/>
      <c r="T46" s="110"/>
      <c r="U46" s="110"/>
      <c r="V46" s="110"/>
      <c r="W46" s="110"/>
      <c r="X46" s="110"/>
      <c r="Y46" s="110"/>
      <c r="Z46" s="110"/>
      <c r="AA46" s="110"/>
      <c r="AB46" s="110"/>
      <c r="AC46" s="110"/>
      <c r="AD46" s="110"/>
      <c r="AE46" s="110"/>
      <c r="AF46" s="110"/>
      <c r="AG46" s="110"/>
      <c r="AH46" s="110"/>
      <c r="AI46" s="110"/>
      <c r="AJ46" s="110"/>
      <c r="AK46" s="110"/>
      <c r="AL46" s="110"/>
    </row>
    <row r="47" spans="1:38" ht="17.2" customHeight="1">
      <c r="A47" s="373">
        <f t="shared" si="1"/>
        <v>45</v>
      </c>
      <c r="B47" s="374"/>
      <c r="C47" s="375"/>
      <c r="D47" s="376"/>
      <c r="E47" s="374"/>
      <c r="F47" s="374"/>
      <c r="G47" s="377" t="str">
        <f>IF(Tabela16[[#This Row],[Value]]="","",IF(Tabela16[[#This Row],[Institution**]]="","Alert: Fill in Institution",IF('[3]6.Other Exp. Categories'!$B47="M","Note: impute in DPD charging costs for presenting papers at conferences",IF('[3]6.Other Exp. Categories'!$B47="SC","Note: Impute in AQ? SC needs validation from FCiência.ID",IF('[3]6.Other Exp. Categories'!$B47="AE","Note: Limited to a maximum of 10% of the total eligible project expenses",IF(Tabela16[[#This Row],[Expense Category*]]="RH",P63,""))))))</f>
        <v/>
      </c>
      <c r="I47" s="110"/>
      <c r="J47" s="110"/>
      <c r="K47" s="110"/>
      <c r="L47" s="110"/>
      <c r="T47" s="110"/>
      <c r="U47" s="110"/>
      <c r="V47" s="110"/>
      <c r="W47" s="110"/>
      <c r="X47" s="110"/>
      <c r="Y47" s="110"/>
      <c r="Z47" s="110"/>
      <c r="AA47" s="110"/>
      <c r="AB47" s="110"/>
      <c r="AC47" s="110"/>
      <c r="AD47" s="110"/>
      <c r="AE47" s="110"/>
      <c r="AF47" s="110"/>
      <c r="AG47" s="110"/>
      <c r="AH47" s="110"/>
      <c r="AI47" s="110"/>
      <c r="AJ47" s="110"/>
      <c r="AK47" s="110"/>
      <c r="AL47" s="110"/>
    </row>
    <row r="48" spans="1:38" ht="17.2" customHeight="1">
      <c r="A48" s="373">
        <f t="shared" si="1"/>
        <v>46</v>
      </c>
      <c r="B48" s="374"/>
      <c r="C48" s="375"/>
      <c r="D48" s="376"/>
      <c r="E48" s="374"/>
      <c r="F48" s="374"/>
      <c r="G48" s="377" t="str">
        <f>IF(Tabela16[[#This Row],[Value]]="","",IF(Tabela16[[#This Row],[Institution**]]="","Alert: Fill in Institution",IF('[3]6.Other Exp. Categories'!$B48="M","Note: impute in DPD charging costs for presenting papers at conferences",IF('[3]6.Other Exp. Categories'!$B48="SC","Note: Impute in AQ? SC needs validation from FCiência.ID",IF('[3]6.Other Exp. Categories'!$B48="AE","Note: Limited to a maximum of 10% of the total eligible project expenses",IF(Tabela16[[#This Row],[Expense Category*]]="RH",P64,""))))))</f>
        <v/>
      </c>
      <c r="I48" s="110"/>
      <c r="J48" s="110"/>
      <c r="K48" s="110"/>
      <c r="L48" s="110"/>
      <c r="T48" s="110"/>
      <c r="U48" s="110"/>
      <c r="V48" s="110"/>
      <c r="W48" s="110"/>
      <c r="X48" s="110"/>
      <c r="Y48" s="110"/>
      <c r="Z48" s="110"/>
      <c r="AA48" s="110"/>
      <c r="AB48" s="110"/>
      <c r="AC48" s="110"/>
      <c r="AD48" s="110"/>
      <c r="AE48" s="110"/>
      <c r="AF48" s="110"/>
      <c r="AG48" s="110"/>
      <c r="AH48" s="110"/>
      <c r="AI48" s="110"/>
      <c r="AJ48" s="110"/>
      <c r="AK48" s="110"/>
      <c r="AL48" s="110"/>
    </row>
    <row r="49" spans="1:38" ht="17.2" customHeight="1">
      <c r="A49" s="373">
        <f t="shared" si="1"/>
        <v>47</v>
      </c>
      <c r="B49" s="374"/>
      <c r="C49" s="375"/>
      <c r="D49" s="376"/>
      <c r="E49" s="374"/>
      <c r="F49" s="374"/>
      <c r="G49" s="377" t="str">
        <f>IF(Tabela16[[#This Row],[Value]]="","",IF(Tabela16[[#This Row],[Institution**]]="","Alert: Fill in Institution",IF('[3]6.Other Exp. Categories'!$B49="M","Note: impute in DPD charging costs for presenting papers at conferences",IF('[3]6.Other Exp. Categories'!$B49="SC","Note: Impute in AQ? SC needs validation from FCiência.ID",IF('[3]6.Other Exp. Categories'!$B49="AE","Note: Limited to a maximum of 10% of the total eligible project expenses",IF(Tabela16[[#This Row],[Expense Category*]]="RH",P65,""))))))</f>
        <v/>
      </c>
      <c r="I49" s="110"/>
      <c r="J49" s="110"/>
      <c r="K49" s="110"/>
      <c r="L49" s="110"/>
      <c r="T49" s="110"/>
      <c r="U49" s="110"/>
      <c r="V49" s="110"/>
      <c r="W49" s="110"/>
      <c r="X49" s="110"/>
      <c r="Y49" s="110"/>
      <c r="Z49" s="110"/>
      <c r="AA49" s="110"/>
      <c r="AB49" s="110"/>
      <c r="AC49" s="110"/>
      <c r="AD49" s="110"/>
      <c r="AE49" s="110"/>
      <c r="AF49" s="110"/>
      <c r="AG49" s="110"/>
      <c r="AH49" s="110"/>
      <c r="AI49" s="110"/>
      <c r="AJ49" s="110"/>
      <c r="AK49" s="110"/>
      <c r="AL49" s="110"/>
    </row>
    <row r="50" spans="1:38" ht="17.2" customHeight="1">
      <c r="A50" s="373">
        <f t="shared" si="1"/>
        <v>48</v>
      </c>
      <c r="B50" s="374"/>
      <c r="C50" s="375"/>
      <c r="D50" s="376"/>
      <c r="E50" s="374"/>
      <c r="F50" s="374"/>
      <c r="G50" s="377" t="str">
        <f>IF(Tabela16[[#This Row],[Value]]="","",IF(Tabela16[[#This Row],[Institution**]]="","Alert: Fill in Institution",IF('[3]6.Other Exp. Categories'!$B50="M","Note: impute in DPD charging costs for presenting papers at conferences",IF('[3]6.Other Exp. Categories'!$B50="SC","Note: Impute in AQ? SC needs validation from FCiência.ID",IF('[3]6.Other Exp. Categories'!$B50="AE","Note: Limited to a maximum of 10% of the total eligible project expenses",IF(Tabela16[[#This Row],[Expense Category*]]="RH",P66,""))))))</f>
        <v/>
      </c>
      <c r="I50" s="110"/>
      <c r="J50" s="110"/>
      <c r="K50" s="110"/>
      <c r="L50" s="110"/>
      <c r="T50" s="110"/>
      <c r="U50" s="110"/>
      <c r="V50" s="110"/>
      <c r="W50" s="110"/>
      <c r="X50" s="110"/>
      <c r="Y50" s="110"/>
      <c r="Z50" s="110"/>
      <c r="AA50" s="110"/>
      <c r="AB50" s="110"/>
      <c r="AC50" s="110"/>
      <c r="AD50" s="110"/>
      <c r="AE50" s="110"/>
      <c r="AF50" s="110"/>
      <c r="AG50" s="110"/>
      <c r="AH50" s="110"/>
      <c r="AI50" s="110"/>
      <c r="AJ50" s="110"/>
      <c r="AK50" s="110"/>
      <c r="AL50" s="110"/>
    </row>
    <row r="51" spans="1:38" ht="17.2" customHeight="1">
      <c r="A51" s="373">
        <f t="shared" si="1"/>
        <v>49</v>
      </c>
      <c r="B51" s="374"/>
      <c r="C51" s="375"/>
      <c r="D51" s="376"/>
      <c r="E51" s="374"/>
      <c r="F51" s="374"/>
      <c r="G51" s="377" t="str">
        <f>IF(Tabela16[[#This Row],[Value]]="","",IF(Tabela16[[#This Row],[Institution**]]="","Alert: Fill in Institution",IF('[3]6.Other Exp. Categories'!$B51="M","Note: impute in DPD charging costs for presenting papers at conferences",IF('[3]6.Other Exp. Categories'!$B51="SC","Note: Impute in AQ? SC needs validation from FCiência.ID",IF('[3]6.Other Exp. Categories'!$B51="AE","Note: Limited to a maximum of 10% of the total eligible project expenses",IF(Tabela16[[#This Row],[Expense Category*]]="RH",P67,""))))))</f>
        <v/>
      </c>
      <c r="I51" s="110"/>
      <c r="J51" s="110"/>
      <c r="K51" s="110"/>
      <c r="L51" s="110"/>
      <c r="T51" s="110"/>
      <c r="U51" s="110"/>
      <c r="V51" s="110"/>
      <c r="W51" s="110"/>
      <c r="X51" s="110"/>
      <c r="Y51" s="110"/>
      <c r="Z51" s="110"/>
      <c r="AA51" s="110"/>
      <c r="AB51" s="110"/>
      <c r="AC51" s="110"/>
      <c r="AD51" s="110"/>
      <c r="AE51" s="110"/>
      <c r="AF51" s="110"/>
      <c r="AG51" s="110"/>
      <c r="AH51" s="110"/>
      <c r="AI51" s="110"/>
      <c r="AJ51" s="110"/>
      <c r="AK51" s="110"/>
      <c r="AL51" s="110"/>
    </row>
    <row r="52" spans="1:38" ht="17.2" customHeight="1">
      <c r="A52" s="373">
        <f t="shared" si="1"/>
        <v>50</v>
      </c>
      <c r="B52" s="374"/>
      <c r="C52" s="375"/>
      <c r="D52" s="376"/>
      <c r="E52" s="374"/>
      <c r="F52" s="374"/>
      <c r="G52" s="377" t="str">
        <f>IF(Tabela16[[#This Row],[Value]]="","",IF(Tabela16[[#This Row],[Institution**]]="","Alert: Fill in Institution",IF('[3]6.Other Exp. Categories'!$B52="M","Note: impute in DPD charging costs for presenting papers at conferences",IF('[3]6.Other Exp. Categories'!$B52="SC","Note: Impute in AQ? SC needs validation from FCiência.ID",IF('[3]6.Other Exp. Categories'!$B52="AE","Note: Limited to a maximum of 10% of the total eligible project expenses",IF(Tabela16[[#This Row],[Expense Category*]]="RH",P68,""))))))</f>
        <v/>
      </c>
      <c r="I52" s="110"/>
      <c r="J52" s="110"/>
      <c r="K52" s="110"/>
      <c r="L52" s="110"/>
      <c r="T52" s="110"/>
      <c r="U52" s="110"/>
      <c r="V52" s="110"/>
      <c r="W52" s="110"/>
      <c r="X52" s="110"/>
      <c r="Y52" s="110"/>
      <c r="Z52" s="110"/>
      <c r="AA52" s="110"/>
      <c r="AB52" s="110"/>
      <c r="AC52" s="110"/>
      <c r="AD52" s="110"/>
      <c r="AE52" s="110"/>
      <c r="AF52" s="110"/>
      <c r="AG52" s="110"/>
      <c r="AH52" s="110"/>
      <c r="AI52" s="110"/>
      <c r="AJ52" s="110"/>
      <c r="AK52" s="110"/>
      <c r="AL52" s="110"/>
    </row>
    <row r="53" spans="1:38" ht="17.2" customHeight="1">
      <c r="A53" s="373">
        <f t="shared" si="1"/>
        <v>51</v>
      </c>
      <c r="B53" s="374"/>
      <c r="C53" s="375"/>
      <c r="D53" s="376"/>
      <c r="E53" s="374"/>
      <c r="F53" s="374"/>
      <c r="G53" s="377" t="str">
        <f>IF(Tabela16[[#This Row],[Value]]="","",IF(Tabela16[[#This Row],[Institution**]]="","Alert: Fill in Institution",IF('[3]6.Other Exp. Categories'!$B53="M","Note: impute in DPD charging costs for presenting papers at conferences",IF('[3]6.Other Exp. Categories'!$B53="SC","Note: Impute in AQ? SC needs validation from FCiência.ID",IF('[3]6.Other Exp. Categories'!$B53="AE","Note: Limited to a maximum of 10% of the total eligible project expenses",IF(Tabela16[[#This Row],[Expense Category*]]="RH",P69,""))))))</f>
        <v/>
      </c>
      <c r="I53" s="110"/>
      <c r="J53" s="110"/>
      <c r="K53" s="110"/>
      <c r="L53" s="110"/>
      <c r="T53" s="110"/>
      <c r="U53" s="110"/>
      <c r="V53" s="110"/>
      <c r="W53" s="110"/>
      <c r="X53" s="110"/>
      <c r="Y53" s="110"/>
      <c r="Z53" s="110"/>
      <c r="AA53" s="110"/>
      <c r="AB53" s="110"/>
      <c r="AC53" s="110"/>
      <c r="AD53" s="110"/>
      <c r="AE53" s="110"/>
      <c r="AF53" s="110"/>
      <c r="AG53" s="110"/>
      <c r="AH53" s="110"/>
      <c r="AI53" s="110"/>
      <c r="AJ53" s="110"/>
      <c r="AK53" s="110"/>
      <c r="AL53" s="110"/>
    </row>
    <row r="54" spans="1:38" ht="17.2" customHeight="1">
      <c r="A54" s="373">
        <f t="shared" si="1"/>
        <v>52</v>
      </c>
      <c r="B54" s="374"/>
      <c r="C54" s="375"/>
      <c r="D54" s="376"/>
      <c r="E54" s="374"/>
      <c r="F54" s="374"/>
      <c r="G54" s="377" t="str">
        <f>IF(Tabela16[[#This Row],[Value]]="","",IF(Tabela16[[#This Row],[Institution**]]="","Alert: Fill in Institution",IF('[3]6.Other Exp. Categories'!$B54="M","Note: impute in DPD charging costs for presenting papers at conferences",IF('[3]6.Other Exp. Categories'!$B54="SC","Note: Impute in AQ? SC needs validation from FCiência.ID",IF('[3]6.Other Exp. Categories'!$B54="AE","Note: Limited to a maximum of 10% of the total eligible project expenses",IF(Tabela16[[#This Row],[Expense Category*]]="RH",P70,""))))))</f>
        <v/>
      </c>
      <c r="I54" s="110"/>
      <c r="J54" s="110"/>
      <c r="K54" s="110"/>
      <c r="L54" s="110"/>
      <c r="T54" s="110"/>
      <c r="U54" s="110"/>
      <c r="V54" s="110"/>
      <c r="W54" s="110"/>
      <c r="X54" s="110"/>
      <c r="Y54" s="110"/>
      <c r="Z54" s="110"/>
      <c r="AA54" s="110"/>
      <c r="AB54" s="110"/>
      <c r="AC54" s="110"/>
      <c r="AD54" s="110"/>
      <c r="AE54" s="110"/>
      <c r="AF54" s="110"/>
      <c r="AG54" s="110"/>
      <c r="AH54" s="110"/>
      <c r="AI54" s="110"/>
      <c r="AJ54" s="110"/>
      <c r="AK54" s="110"/>
      <c r="AL54" s="110"/>
    </row>
    <row r="55" spans="1:38" ht="17.2" customHeight="1">
      <c r="A55" s="373">
        <f t="shared" si="1"/>
        <v>53</v>
      </c>
      <c r="B55" s="374"/>
      <c r="C55" s="375"/>
      <c r="D55" s="376"/>
      <c r="E55" s="374"/>
      <c r="F55" s="374"/>
      <c r="G55" s="377" t="str">
        <f>IF(Tabela16[[#This Row],[Value]]="","",IF(Tabela16[[#This Row],[Institution**]]="","Alert: Fill in Institution",IF('[3]6.Other Exp. Categories'!$B55="M","Note: impute in DPD charging costs for presenting papers at conferences",IF('[3]6.Other Exp. Categories'!$B55="SC","Note: Impute in AQ? SC needs validation from FCiência.ID",IF('[3]6.Other Exp. Categories'!$B55="AE","Note: Limited to a maximum of 10% of the total eligible project expenses",IF(Tabela16[[#This Row],[Expense Category*]]="RH",P71,""))))))</f>
        <v/>
      </c>
      <c r="I55" s="110"/>
      <c r="J55" s="110"/>
      <c r="K55" s="110"/>
      <c r="L55" s="110"/>
      <c r="T55" s="110"/>
      <c r="U55" s="110"/>
      <c r="V55" s="110"/>
      <c r="W55" s="110"/>
      <c r="X55" s="110"/>
      <c r="Y55" s="110"/>
      <c r="Z55" s="110"/>
      <c r="AA55" s="110"/>
      <c r="AB55" s="110"/>
      <c r="AC55" s="110"/>
      <c r="AD55" s="110"/>
      <c r="AE55" s="110"/>
      <c r="AF55" s="110"/>
      <c r="AG55" s="110"/>
      <c r="AH55" s="110"/>
      <c r="AI55" s="110"/>
      <c r="AJ55" s="110"/>
      <c r="AK55" s="110"/>
      <c r="AL55" s="110"/>
    </row>
    <row r="56" spans="1:38" ht="17.2" customHeight="1">
      <c r="A56" s="373">
        <f t="shared" si="1"/>
        <v>54</v>
      </c>
      <c r="B56" s="374"/>
      <c r="C56" s="375"/>
      <c r="D56" s="376"/>
      <c r="E56" s="374"/>
      <c r="F56" s="374"/>
      <c r="G56" s="377" t="str">
        <f>IF(Tabela16[[#This Row],[Value]]="","",IF(Tabela16[[#This Row],[Institution**]]="","Alert: Fill in Institution",IF('[3]6.Other Exp. Categories'!$B56="M","Note: impute in DPD charging costs for presenting papers at conferences",IF('[3]6.Other Exp. Categories'!$B56="SC","Note: Impute in AQ? SC needs validation from FCiência.ID",IF('[3]6.Other Exp. Categories'!$B56="AE","Note: Limited to a maximum of 10% of the total eligible project expenses",IF(Tabela16[[#This Row],[Expense Category*]]="RH",P72,""))))))</f>
        <v/>
      </c>
      <c r="I56" s="110"/>
      <c r="J56" s="110"/>
      <c r="K56" s="110"/>
      <c r="L56" s="110"/>
      <c r="T56" s="110"/>
      <c r="U56" s="110"/>
      <c r="V56" s="110"/>
      <c r="W56" s="110"/>
      <c r="X56" s="110"/>
      <c r="Y56" s="110"/>
      <c r="Z56" s="110"/>
      <c r="AA56" s="110"/>
      <c r="AB56" s="110"/>
      <c r="AC56" s="110"/>
      <c r="AD56" s="110"/>
      <c r="AE56" s="110"/>
      <c r="AF56" s="110"/>
      <c r="AG56" s="110"/>
      <c r="AH56" s="110"/>
      <c r="AI56" s="110"/>
      <c r="AJ56" s="110"/>
      <c r="AK56" s="110"/>
      <c r="AL56" s="110"/>
    </row>
    <row r="57" spans="1:38" ht="17.2" customHeight="1">
      <c r="A57" s="373">
        <f t="shared" si="1"/>
        <v>55</v>
      </c>
      <c r="B57" s="374"/>
      <c r="C57" s="375"/>
      <c r="D57" s="376"/>
      <c r="E57" s="374"/>
      <c r="F57" s="374"/>
      <c r="G57" s="377" t="str">
        <f>IF(Tabela16[[#This Row],[Value]]="","",IF(Tabela16[[#This Row],[Institution**]]="","Alert: Fill in Institution",IF('[3]6.Other Exp. Categories'!$B57="M","Note: impute in DPD charging costs for presenting papers at conferences",IF('[3]6.Other Exp. Categories'!$B57="SC","Note: Impute in AQ? SC needs validation from FCiência.ID",IF('[3]6.Other Exp. Categories'!$B57="AE","Note: Limited to a maximum of 10% of the total eligible project expenses",IF(Tabela16[[#This Row],[Expense Category*]]="RH",P73,""))))))</f>
        <v/>
      </c>
      <c r="I57" s="110"/>
      <c r="J57" s="110"/>
      <c r="K57" s="110"/>
      <c r="L57" s="110"/>
      <c r="T57" s="110"/>
      <c r="U57" s="110"/>
      <c r="V57" s="110"/>
      <c r="W57" s="110"/>
      <c r="X57" s="110"/>
      <c r="Y57" s="110"/>
      <c r="Z57" s="110"/>
      <c r="AA57" s="110"/>
      <c r="AB57" s="110"/>
      <c r="AC57" s="110"/>
      <c r="AD57" s="110"/>
      <c r="AE57" s="110"/>
      <c r="AF57" s="110"/>
      <c r="AG57" s="110"/>
      <c r="AH57" s="110"/>
      <c r="AI57" s="110"/>
      <c r="AJ57" s="110"/>
      <c r="AK57" s="110"/>
      <c r="AL57" s="110"/>
    </row>
    <row r="58" spans="1:38" ht="17.2" customHeight="1">
      <c r="A58" s="373">
        <f t="shared" si="1"/>
        <v>56</v>
      </c>
      <c r="B58" s="374"/>
      <c r="C58" s="375"/>
      <c r="D58" s="376"/>
      <c r="E58" s="374"/>
      <c r="F58" s="374"/>
      <c r="G58" s="377" t="str">
        <f>IF(Tabela16[[#This Row],[Value]]="","",IF(Tabela16[[#This Row],[Institution**]]="","Alert: Fill in Institution",IF('[3]6.Other Exp. Categories'!$B58="M","Note: impute in DPD charging costs for presenting papers at conferences",IF('[3]6.Other Exp. Categories'!$B58="SC","Note: Impute in AQ? SC needs validation from FCiência.ID",IF('[3]6.Other Exp. Categories'!$B58="AE","Note: Limited to a maximum of 10% of the total eligible project expenses",IF(Tabela16[[#This Row],[Expense Category*]]="RH",P74,""))))))</f>
        <v/>
      </c>
      <c r="I58" s="110"/>
      <c r="J58" s="110"/>
      <c r="K58" s="110"/>
      <c r="L58" s="110"/>
      <c r="T58" s="110"/>
      <c r="U58" s="110"/>
      <c r="V58" s="110"/>
      <c r="W58" s="110"/>
      <c r="X58" s="110"/>
      <c r="Y58" s="110"/>
      <c r="Z58" s="110"/>
      <c r="AA58" s="110"/>
      <c r="AB58" s="110"/>
      <c r="AC58" s="110"/>
      <c r="AD58" s="110"/>
      <c r="AE58" s="110"/>
      <c r="AF58" s="110"/>
      <c r="AG58" s="110"/>
      <c r="AH58" s="110"/>
      <c r="AI58" s="110"/>
      <c r="AJ58" s="110"/>
      <c r="AK58" s="110"/>
      <c r="AL58" s="110"/>
    </row>
    <row r="59" spans="1:38" ht="17.2" customHeight="1">
      <c r="A59" s="373">
        <f t="shared" si="1"/>
        <v>57</v>
      </c>
      <c r="B59" s="374"/>
      <c r="C59" s="375"/>
      <c r="D59" s="376"/>
      <c r="E59" s="374"/>
      <c r="F59" s="374"/>
      <c r="G59" s="377" t="str">
        <f>IF(Tabela16[[#This Row],[Value]]="","",IF(Tabela16[[#This Row],[Institution**]]="","Alert: Fill in Institution",IF('[3]6.Other Exp. Categories'!$B59="M","Note: impute in DPD charging costs for presenting papers at conferences",IF('[3]6.Other Exp. Categories'!$B59="SC","Note: Impute in AQ? SC needs validation from FCiência.ID",IF('[3]6.Other Exp. Categories'!$B59="AE","Note: Limited to a maximum of 10% of the total eligible project expenses",IF(Tabela16[[#This Row],[Expense Category*]]="RH",P75,""))))))</f>
        <v/>
      </c>
      <c r="I59" s="110"/>
      <c r="J59" s="110"/>
      <c r="K59" s="110"/>
      <c r="L59" s="110"/>
      <c r="T59" s="110"/>
      <c r="U59" s="110"/>
      <c r="V59" s="110"/>
      <c r="W59" s="110"/>
      <c r="X59" s="110"/>
      <c r="Y59" s="110"/>
      <c r="Z59" s="110"/>
      <c r="AA59" s="110"/>
      <c r="AB59" s="110"/>
      <c r="AC59" s="110"/>
      <c r="AD59" s="110"/>
      <c r="AE59" s="110"/>
      <c r="AF59" s="110"/>
      <c r="AG59" s="110"/>
      <c r="AH59" s="110"/>
      <c r="AI59" s="110"/>
      <c r="AJ59" s="110"/>
      <c r="AK59" s="110"/>
      <c r="AL59" s="110"/>
    </row>
    <row r="60" spans="1:38" ht="17.2" customHeight="1">
      <c r="A60" s="373">
        <f t="shared" si="1"/>
        <v>58</v>
      </c>
      <c r="B60" s="374"/>
      <c r="C60" s="375"/>
      <c r="D60" s="376"/>
      <c r="E60" s="374"/>
      <c r="F60" s="374"/>
      <c r="G60" s="377" t="str">
        <f>IF(Tabela16[[#This Row],[Value]]="","",IF(Tabela16[[#This Row],[Institution**]]="","Alert: Fill in Institution",IF('[3]6.Other Exp. Categories'!$B60="M","Note: impute in DPD charging costs for presenting papers at conferences",IF('[3]6.Other Exp. Categories'!$B60="SC","Note: Impute in AQ? SC needs validation from FCiência.ID",IF('[3]6.Other Exp. Categories'!$B60="AE","Note: Limited to a maximum of 10% of the total eligible project expenses",IF(Tabela16[[#This Row],[Expense Category*]]="RH",P76,""))))))</f>
        <v/>
      </c>
      <c r="I60" s="110"/>
      <c r="J60" s="110"/>
      <c r="K60" s="110"/>
      <c r="L60" s="110"/>
      <c r="T60" s="110"/>
      <c r="U60" s="110"/>
      <c r="V60" s="110"/>
      <c r="W60" s="110"/>
      <c r="X60" s="110"/>
      <c r="Y60" s="110"/>
      <c r="Z60" s="110"/>
      <c r="AA60" s="110"/>
      <c r="AB60" s="110"/>
      <c r="AC60" s="110"/>
      <c r="AD60" s="110"/>
      <c r="AE60" s="110"/>
      <c r="AF60" s="110"/>
      <c r="AG60" s="110"/>
      <c r="AH60" s="110"/>
      <c r="AI60" s="110"/>
      <c r="AJ60" s="110"/>
      <c r="AK60" s="110"/>
      <c r="AL60" s="110"/>
    </row>
    <row r="61" spans="1:38" ht="17.2" customHeight="1">
      <c r="A61" s="373">
        <f t="shared" si="1"/>
        <v>59</v>
      </c>
      <c r="B61" s="374"/>
      <c r="C61" s="375"/>
      <c r="D61" s="376"/>
      <c r="E61" s="374"/>
      <c r="F61" s="374"/>
      <c r="G61" s="377" t="str">
        <f>IF(Tabela16[[#This Row],[Value]]="","",IF(Tabela16[[#This Row],[Institution**]]="","Alert: Fill in Institution",IF('[3]6.Other Exp. Categories'!$B61="M","Note: impute in DPD charging costs for presenting papers at conferences",IF('[3]6.Other Exp. Categories'!$B61="SC","Note: Impute in AQ? SC needs validation from FCiência.ID",IF('[3]6.Other Exp. Categories'!$B61="AE","Note: Limited to a maximum of 10% of the total eligible project expenses",IF(Tabela16[[#This Row],[Expense Category*]]="RH",P77,""))))))</f>
        <v/>
      </c>
      <c r="I61" s="110"/>
      <c r="J61" s="110"/>
      <c r="K61" s="110"/>
      <c r="L61" s="110"/>
      <c r="T61" s="110"/>
      <c r="U61" s="110"/>
      <c r="V61" s="110"/>
      <c r="W61" s="110"/>
      <c r="X61" s="110"/>
      <c r="Y61" s="110"/>
      <c r="Z61" s="110"/>
      <c r="AA61" s="110"/>
      <c r="AB61" s="110"/>
      <c r="AC61" s="110"/>
      <c r="AD61" s="110"/>
      <c r="AE61" s="110"/>
      <c r="AF61" s="110"/>
      <c r="AG61" s="110"/>
      <c r="AH61" s="110"/>
      <c r="AI61" s="110"/>
      <c r="AJ61" s="110"/>
      <c r="AK61" s="110"/>
      <c r="AL61" s="110"/>
    </row>
    <row r="62" spans="1:38" ht="17.2" customHeight="1">
      <c r="A62" s="373">
        <f t="shared" si="1"/>
        <v>60</v>
      </c>
      <c r="B62" s="374"/>
      <c r="C62" s="375"/>
      <c r="D62" s="376"/>
      <c r="E62" s="374"/>
      <c r="F62" s="374"/>
      <c r="G62" s="377" t="str">
        <f>IF(Tabela16[[#This Row],[Value]]="","",IF(Tabela16[[#This Row],[Institution**]]="","Alert: Fill in Institution",IF('[3]6.Other Exp. Categories'!$B62="M","Note: impute in DPD charging costs for presenting papers at conferences",IF('[3]6.Other Exp. Categories'!$B62="SC","Note: Impute in AQ? SC needs validation from FCiência.ID",IF('[3]6.Other Exp. Categories'!$B62="AE","Note: Limited to a maximum of 10% of the total eligible project expenses",IF(Tabela16[[#This Row],[Expense Category*]]="RH",P78,""))))))</f>
        <v/>
      </c>
      <c r="I62" s="110"/>
      <c r="J62" s="110"/>
      <c r="K62" s="110"/>
      <c r="L62" s="110"/>
      <c r="T62" s="110"/>
      <c r="U62" s="110"/>
      <c r="V62" s="110"/>
      <c r="W62" s="110"/>
      <c r="X62" s="110"/>
      <c r="Y62" s="110"/>
      <c r="Z62" s="110"/>
      <c r="AA62" s="110"/>
      <c r="AB62" s="110"/>
      <c r="AC62" s="110"/>
      <c r="AD62" s="110"/>
      <c r="AE62" s="110"/>
      <c r="AF62" s="110"/>
      <c r="AG62" s="110"/>
      <c r="AH62" s="110"/>
      <c r="AI62" s="110"/>
      <c r="AJ62" s="110"/>
      <c r="AK62" s="110"/>
      <c r="AL62" s="110"/>
    </row>
    <row r="63" spans="1:38" ht="17.2" customHeight="1">
      <c r="A63" s="373">
        <f t="shared" si="1"/>
        <v>61</v>
      </c>
      <c r="B63" s="374"/>
      <c r="C63" s="375"/>
      <c r="D63" s="376"/>
      <c r="E63" s="374"/>
      <c r="F63" s="374"/>
      <c r="G63" s="377" t="str">
        <f>IF(Tabela16[[#This Row],[Value]]="","",IF(Tabela16[[#This Row],[Institution**]]="","Alert: Fill in Institution",IF('[3]6.Other Exp. Categories'!$B63="M","Note: impute in DPD charging costs for presenting papers at conferences",IF('[3]6.Other Exp. Categories'!$B63="SC","Note: Impute in AQ? SC needs validation from FCiência.ID",IF('[3]6.Other Exp. Categories'!$B63="AE","Note: Limited to a maximum of 10% of the total eligible project expenses",IF(Tabela16[[#This Row],[Expense Category*]]="RH",P79,""))))))</f>
        <v/>
      </c>
      <c r="I63" s="110"/>
      <c r="J63" s="110"/>
      <c r="K63" s="110"/>
      <c r="L63" s="110"/>
      <c r="T63" s="110"/>
      <c r="U63" s="110"/>
      <c r="V63" s="110"/>
      <c r="W63" s="110"/>
      <c r="X63" s="110"/>
      <c r="Y63" s="110"/>
      <c r="Z63" s="110"/>
      <c r="AA63" s="110"/>
      <c r="AB63" s="110"/>
      <c r="AC63" s="110"/>
      <c r="AD63" s="110"/>
      <c r="AE63" s="110"/>
      <c r="AF63" s="110"/>
      <c r="AG63" s="110"/>
      <c r="AH63" s="110"/>
      <c r="AI63" s="110"/>
      <c r="AJ63" s="110"/>
      <c r="AK63" s="110"/>
      <c r="AL63" s="110"/>
    </row>
    <row r="64" spans="1:38" ht="17.2" customHeight="1">
      <c r="A64" s="373">
        <f t="shared" si="1"/>
        <v>62</v>
      </c>
      <c r="B64" s="374"/>
      <c r="C64" s="375"/>
      <c r="D64" s="376"/>
      <c r="E64" s="374"/>
      <c r="F64" s="374"/>
      <c r="G64" s="377" t="str">
        <f>IF(Tabela16[[#This Row],[Value]]="","",IF(Tabela16[[#This Row],[Institution**]]="","Alert: Fill in Institution",IF('[3]6.Other Exp. Categories'!$B64="M","Note: impute in DPD charging costs for presenting papers at conferences",IF('[3]6.Other Exp. Categories'!$B64="SC","Note: Impute in AQ? SC needs validation from FCiência.ID",IF('[3]6.Other Exp. Categories'!$B64="AE","Note: Limited to a maximum of 10% of the total eligible project expenses",IF(Tabela16[[#This Row],[Expense Category*]]="RH",P80,""))))))</f>
        <v/>
      </c>
      <c r="I64" s="110"/>
      <c r="J64" s="110"/>
      <c r="K64" s="110"/>
      <c r="L64" s="110"/>
      <c r="T64" s="110"/>
      <c r="U64" s="110"/>
      <c r="V64" s="110"/>
      <c r="W64" s="110"/>
      <c r="X64" s="110"/>
      <c r="Y64" s="110"/>
      <c r="Z64" s="110"/>
      <c r="AA64" s="110"/>
      <c r="AB64" s="110"/>
      <c r="AC64" s="110"/>
      <c r="AD64" s="110"/>
      <c r="AE64" s="110"/>
      <c r="AF64" s="110"/>
      <c r="AG64" s="110"/>
      <c r="AH64" s="110"/>
      <c r="AI64" s="110"/>
      <c r="AJ64" s="110"/>
      <c r="AK64" s="110"/>
      <c r="AL64" s="110"/>
    </row>
    <row r="65" spans="1:38" ht="17.2" customHeight="1">
      <c r="A65" s="373">
        <f t="shared" si="1"/>
        <v>63</v>
      </c>
      <c r="B65" s="374"/>
      <c r="C65" s="375"/>
      <c r="D65" s="376"/>
      <c r="E65" s="374"/>
      <c r="F65" s="374"/>
      <c r="G65" s="377" t="str">
        <f>IF(Tabela16[[#This Row],[Value]]="","",IF(Tabela16[[#This Row],[Institution**]]="","Alert: Fill in Institution",IF('[3]6.Other Exp. Categories'!$B65="M","Note: impute in DPD charging costs for presenting papers at conferences",IF('[3]6.Other Exp. Categories'!$B65="SC","Note: Impute in AQ? SC needs validation from FCiência.ID",IF('[3]6.Other Exp. Categories'!$B65="AE","Note: Limited to a maximum of 10% of the total eligible project expenses",IF(Tabela16[[#This Row],[Expense Category*]]="RH",P81,""))))))</f>
        <v/>
      </c>
      <c r="I65" s="110"/>
      <c r="J65" s="110"/>
      <c r="K65" s="110"/>
      <c r="L65" s="110"/>
      <c r="T65" s="110"/>
      <c r="U65" s="110"/>
      <c r="V65" s="110"/>
      <c r="W65" s="110"/>
      <c r="X65" s="110"/>
      <c r="Y65" s="110"/>
      <c r="Z65" s="110"/>
      <c r="AA65" s="110"/>
      <c r="AB65" s="110"/>
      <c r="AC65" s="110"/>
      <c r="AD65" s="110"/>
      <c r="AE65" s="110"/>
      <c r="AF65" s="110"/>
      <c r="AG65" s="110"/>
      <c r="AH65" s="110"/>
      <c r="AI65" s="110"/>
      <c r="AJ65" s="110"/>
      <c r="AK65" s="110"/>
      <c r="AL65" s="110"/>
    </row>
    <row r="66" spans="1:38" ht="17.2" customHeight="1">
      <c r="A66" s="373">
        <f t="shared" si="1"/>
        <v>64</v>
      </c>
      <c r="B66" s="374"/>
      <c r="C66" s="375"/>
      <c r="D66" s="376"/>
      <c r="E66" s="374"/>
      <c r="F66" s="374"/>
      <c r="G66" s="377" t="str">
        <f>IF(Tabela16[[#This Row],[Value]]="","",IF(Tabela16[[#This Row],[Institution**]]="","Alert: Fill in Institution",IF('[3]6.Other Exp. Categories'!$B66="M","Note: impute in DPD charging costs for presenting papers at conferences",IF('[3]6.Other Exp. Categories'!$B66="SC","Note: Impute in AQ? SC needs validation from FCiência.ID",IF('[3]6.Other Exp. Categories'!$B66="AE","Note: Limited to a maximum of 10% of the total eligible project expenses",IF(Tabela16[[#This Row],[Expense Category*]]="RH",P82,""))))))</f>
        <v/>
      </c>
      <c r="I66" s="110"/>
      <c r="J66" s="110"/>
      <c r="K66" s="110"/>
      <c r="L66" s="110"/>
      <c r="T66" s="110"/>
      <c r="U66" s="110"/>
      <c r="V66" s="110"/>
      <c r="W66" s="110"/>
      <c r="X66" s="110"/>
      <c r="Y66" s="110"/>
      <c r="Z66" s="110"/>
      <c r="AA66" s="110"/>
      <c r="AB66" s="110"/>
      <c r="AC66" s="110"/>
      <c r="AD66" s="110"/>
      <c r="AE66" s="110"/>
      <c r="AF66" s="110"/>
      <c r="AG66" s="110"/>
      <c r="AH66" s="110"/>
      <c r="AI66" s="110"/>
      <c r="AJ66" s="110"/>
      <c r="AK66" s="110"/>
      <c r="AL66" s="110"/>
    </row>
    <row r="67" spans="1:38" ht="17.2" customHeight="1">
      <c r="A67" s="373">
        <f t="shared" si="1"/>
        <v>65</v>
      </c>
      <c r="B67" s="374"/>
      <c r="C67" s="375"/>
      <c r="D67" s="376"/>
      <c r="E67" s="374"/>
      <c r="F67" s="374"/>
      <c r="G67" s="377" t="str">
        <f>IF(Tabela16[[#This Row],[Value]]="","",IF(Tabela16[[#This Row],[Institution**]]="","Alert: Fill in Institution",IF('[3]6.Other Exp. Categories'!$B67="M","Note: impute in DPD charging costs for presenting papers at conferences",IF('[3]6.Other Exp. Categories'!$B67="SC","Note: Impute in AQ? SC needs validation from FCiência.ID",IF('[3]6.Other Exp. Categories'!$B67="AE","Note: Limited to a maximum of 10% of the total eligible project expenses",IF(Tabela16[[#This Row],[Expense Category*]]="RH",P83,""))))))</f>
        <v/>
      </c>
      <c r="I67" s="110"/>
      <c r="J67" s="110"/>
      <c r="K67" s="110"/>
      <c r="L67" s="110"/>
      <c r="T67" s="110"/>
      <c r="U67" s="110"/>
      <c r="V67" s="110"/>
      <c r="W67" s="110"/>
      <c r="X67" s="110"/>
      <c r="Y67" s="110"/>
      <c r="Z67" s="110"/>
      <c r="AA67" s="110"/>
      <c r="AB67" s="110"/>
      <c r="AC67" s="110"/>
      <c r="AD67" s="110"/>
      <c r="AE67" s="110"/>
      <c r="AF67" s="110"/>
      <c r="AG67" s="110"/>
      <c r="AH67" s="110"/>
      <c r="AI67" s="110"/>
      <c r="AJ67" s="110"/>
      <c r="AK67" s="110"/>
      <c r="AL67" s="110"/>
    </row>
    <row r="68" spans="1:38" ht="17.2" customHeight="1">
      <c r="A68" s="373">
        <f t="shared" si="1"/>
        <v>66</v>
      </c>
      <c r="B68" s="374"/>
      <c r="C68" s="375"/>
      <c r="D68" s="376"/>
      <c r="E68" s="374"/>
      <c r="F68" s="374"/>
      <c r="G68" s="377" t="str">
        <f>IF(Tabela16[[#This Row],[Value]]="","",IF(Tabela16[[#This Row],[Institution**]]="","Alert: Fill in Institution",IF('[3]6.Other Exp. Categories'!$B68="M","Note: impute in DPD charging costs for presenting papers at conferences",IF('[3]6.Other Exp. Categories'!$B68="SC","Note: Impute in AQ? SC needs validation from FCiência.ID",IF('[3]6.Other Exp. Categories'!$B68="AE","Note: Limited to a maximum of 10% of the total eligible project expenses",IF(Tabela16[[#This Row],[Expense Category*]]="RH",P84,""))))))</f>
        <v/>
      </c>
      <c r="I68" s="110"/>
      <c r="J68" s="110"/>
      <c r="K68" s="110"/>
      <c r="L68" s="110"/>
      <c r="T68" s="110"/>
      <c r="U68" s="110"/>
      <c r="V68" s="110"/>
      <c r="W68" s="110"/>
      <c r="X68" s="110"/>
      <c r="Y68" s="110"/>
      <c r="Z68" s="110"/>
      <c r="AA68" s="110"/>
      <c r="AB68" s="110"/>
      <c r="AC68" s="110"/>
      <c r="AD68" s="110"/>
      <c r="AE68" s="110"/>
      <c r="AF68" s="110"/>
      <c r="AG68" s="110"/>
      <c r="AH68" s="110"/>
      <c r="AI68" s="110"/>
      <c r="AJ68" s="110"/>
      <c r="AK68" s="110"/>
      <c r="AL68" s="110"/>
    </row>
    <row r="69" spans="1:38" ht="17.2" customHeight="1">
      <c r="A69" s="373">
        <f t="shared" ref="A69:A102" si="6">+A68+1</f>
        <v>67</v>
      </c>
      <c r="B69" s="374"/>
      <c r="C69" s="375"/>
      <c r="D69" s="376"/>
      <c r="E69" s="374"/>
      <c r="F69" s="374"/>
      <c r="G69" s="377" t="str">
        <f>IF(Tabela16[[#This Row],[Value]]="","",IF(Tabela16[[#This Row],[Institution**]]="","Alert: Fill in Institution",IF('[3]6.Other Exp. Categories'!$B69="M","Note: impute in DPD charging costs for presenting papers at conferences",IF('[3]6.Other Exp. Categories'!$B69="SC","Note: Impute in AQ? SC needs validation from FCiência.ID",IF('[3]6.Other Exp. Categories'!$B69="AE","Note: Limited to a maximum of 10% of the total eligible project expenses",IF(Tabela16[[#This Row],[Expense Category*]]="RH",P85,""))))))</f>
        <v/>
      </c>
      <c r="I69" s="110"/>
      <c r="J69" s="110"/>
      <c r="K69" s="110"/>
      <c r="L69" s="110"/>
      <c r="T69" s="110"/>
      <c r="U69" s="110"/>
      <c r="V69" s="110"/>
      <c r="W69" s="110"/>
      <c r="X69" s="110"/>
      <c r="Y69" s="110"/>
      <c r="Z69" s="110"/>
      <c r="AA69" s="110"/>
      <c r="AB69" s="110"/>
      <c r="AC69" s="110"/>
      <c r="AD69" s="110"/>
      <c r="AE69" s="110"/>
      <c r="AF69" s="110"/>
      <c r="AG69" s="110"/>
      <c r="AH69" s="110"/>
      <c r="AI69" s="110"/>
      <c r="AJ69" s="110"/>
      <c r="AK69" s="110"/>
      <c r="AL69" s="110"/>
    </row>
    <row r="70" spans="1:38" ht="17.2" customHeight="1">
      <c r="A70" s="373">
        <f t="shared" si="6"/>
        <v>68</v>
      </c>
      <c r="B70" s="374"/>
      <c r="C70" s="375"/>
      <c r="D70" s="376"/>
      <c r="E70" s="374"/>
      <c r="F70" s="374"/>
      <c r="G70" s="377" t="str">
        <f>IF(Tabela16[[#This Row],[Value]]="","",IF(Tabela16[[#This Row],[Institution**]]="","Alert: Fill in Institution",IF('[3]6.Other Exp. Categories'!$B70="M","Note: impute in DPD charging costs for presenting papers at conferences",IF('[3]6.Other Exp. Categories'!$B70="SC","Note: Impute in AQ? SC needs validation from FCiência.ID",IF('[3]6.Other Exp. Categories'!$B70="AE","Note: Limited to a maximum of 10% of the total eligible project expenses",IF(Tabela16[[#This Row],[Expense Category*]]="RH",P86,""))))))</f>
        <v/>
      </c>
      <c r="I70" s="110"/>
      <c r="J70" s="110"/>
      <c r="K70" s="110"/>
      <c r="L70" s="110"/>
      <c r="T70" s="110"/>
      <c r="U70" s="110"/>
      <c r="V70" s="110"/>
      <c r="W70" s="110"/>
      <c r="X70" s="110"/>
      <c r="Y70" s="110"/>
      <c r="Z70" s="110"/>
      <c r="AA70" s="110"/>
      <c r="AB70" s="110"/>
      <c r="AC70" s="110"/>
      <c r="AD70" s="110"/>
      <c r="AE70" s="110"/>
      <c r="AF70" s="110"/>
      <c r="AG70" s="110"/>
      <c r="AH70" s="110"/>
      <c r="AI70" s="110"/>
      <c r="AJ70" s="110"/>
      <c r="AK70" s="110"/>
      <c r="AL70" s="110"/>
    </row>
    <row r="71" spans="1:38" ht="17.2" customHeight="1">
      <c r="A71" s="373">
        <f t="shared" si="6"/>
        <v>69</v>
      </c>
      <c r="B71" s="374"/>
      <c r="C71" s="375"/>
      <c r="D71" s="376"/>
      <c r="E71" s="374"/>
      <c r="F71" s="374"/>
      <c r="G71" s="377" t="str">
        <f>IF(Tabela16[[#This Row],[Value]]="","",IF(Tabela16[[#This Row],[Institution**]]="","Alert: Fill in Institution",IF('[3]6.Other Exp. Categories'!$B71="M","Note: impute in DPD charging costs for presenting papers at conferences",IF('[3]6.Other Exp. Categories'!$B71="SC","Note: Impute in AQ? SC needs validation from FCiência.ID",IF('[3]6.Other Exp. Categories'!$B71="AE","Note: Limited to a maximum of 10% of the total eligible project expenses",IF(Tabela16[[#This Row],[Expense Category*]]="RH",P87,""))))))</f>
        <v/>
      </c>
      <c r="I71" s="110"/>
      <c r="J71" s="110"/>
      <c r="K71" s="110"/>
      <c r="L71" s="110"/>
      <c r="T71" s="110"/>
      <c r="U71" s="110"/>
      <c r="V71" s="110"/>
      <c r="W71" s="110"/>
      <c r="X71" s="110"/>
      <c r="Y71" s="110"/>
      <c r="Z71" s="110"/>
      <c r="AA71" s="110"/>
      <c r="AB71" s="110"/>
      <c r="AC71" s="110"/>
      <c r="AD71" s="110"/>
      <c r="AE71" s="110"/>
      <c r="AF71" s="110"/>
      <c r="AG71" s="110"/>
      <c r="AH71" s="110"/>
      <c r="AI71" s="110"/>
      <c r="AJ71" s="110"/>
      <c r="AK71" s="110"/>
      <c r="AL71" s="110"/>
    </row>
    <row r="72" spans="1:38" ht="17.2" customHeight="1">
      <c r="A72" s="373">
        <f t="shared" si="6"/>
        <v>70</v>
      </c>
      <c r="B72" s="374"/>
      <c r="C72" s="375"/>
      <c r="D72" s="376"/>
      <c r="E72" s="374"/>
      <c r="F72" s="374"/>
      <c r="G72" s="377" t="str">
        <f>IF(Tabela16[[#This Row],[Value]]="","",IF(Tabela16[[#This Row],[Institution**]]="","Alert: Fill in Institution",IF('[3]6.Other Exp. Categories'!$B72="M","Note: impute in DPD charging costs for presenting papers at conferences",IF('[3]6.Other Exp. Categories'!$B72="SC","Note: Impute in AQ? SC needs validation from FCiência.ID",IF('[3]6.Other Exp. Categories'!$B72="AE","Note: Limited to a maximum of 10% of the total eligible project expenses",IF(Tabela16[[#This Row],[Expense Category*]]="RH",P88,""))))))</f>
        <v/>
      </c>
      <c r="I72" s="110"/>
      <c r="J72" s="110"/>
      <c r="K72" s="110"/>
      <c r="L72" s="110"/>
      <c r="T72" s="110"/>
      <c r="U72" s="110"/>
      <c r="V72" s="110"/>
      <c r="W72" s="110"/>
      <c r="X72" s="110"/>
      <c r="Y72" s="110"/>
      <c r="Z72" s="110"/>
      <c r="AA72" s="110"/>
      <c r="AB72" s="110"/>
      <c r="AC72" s="110"/>
      <c r="AD72" s="110"/>
      <c r="AE72" s="110"/>
      <c r="AF72" s="110"/>
      <c r="AG72" s="110"/>
      <c r="AH72" s="110"/>
      <c r="AI72" s="110"/>
      <c r="AJ72" s="110"/>
      <c r="AK72" s="110"/>
      <c r="AL72" s="110"/>
    </row>
    <row r="73" spans="1:38" ht="17.2" customHeight="1">
      <c r="A73" s="373">
        <f t="shared" si="6"/>
        <v>71</v>
      </c>
      <c r="B73" s="374"/>
      <c r="C73" s="375"/>
      <c r="D73" s="376"/>
      <c r="E73" s="374"/>
      <c r="F73" s="374"/>
      <c r="G73" s="377" t="str">
        <f>IF(Tabela16[[#This Row],[Value]]="","",IF(Tabela16[[#This Row],[Institution**]]="","Alert: Fill in Institution",IF('[3]6.Other Exp. Categories'!$B73="M","Note: impute in DPD charging costs for presenting papers at conferences",IF('[3]6.Other Exp. Categories'!$B73="SC","Note: Impute in AQ? SC needs validation from FCiência.ID",IF('[3]6.Other Exp. Categories'!$B73="AE","Note: Limited to a maximum of 10% of the total eligible project expenses",IF(Tabela16[[#This Row],[Expense Category*]]="RH",P89,""))))))</f>
        <v/>
      </c>
      <c r="I73" s="110"/>
      <c r="J73" s="110"/>
      <c r="K73" s="110"/>
      <c r="L73" s="110"/>
      <c r="T73" s="110"/>
      <c r="U73" s="110"/>
      <c r="V73" s="110"/>
      <c r="W73" s="110"/>
      <c r="X73" s="110"/>
      <c r="Y73" s="110"/>
      <c r="Z73" s="110"/>
      <c r="AA73" s="110"/>
      <c r="AB73" s="110"/>
      <c r="AC73" s="110"/>
      <c r="AD73" s="110"/>
      <c r="AE73" s="110"/>
      <c r="AF73" s="110"/>
      <c r="AG73" s="110"/>
      <c r="AH73" s="110"/>
      <c r="AI73" s="110"/>
      <c r="AJ73" s="110"/>
      <c r="AK73" s="110"/>
      <c r="AL73" s="110"/>
    </row>
    <row r="74" spans="1:38" ht="17.2" customHeight="1">
      <c r="A74" s="373">
        <f t="shared" si="6"/>
        <v>72</v>
      </c>
      <c r="B74" s="374"/>
      <c r="C74" s="375"/>
      <c r="D74" s="376"/>
      <c r="E74" s="374"/>
      <c r="F74" s="374"/>
      <c r="G74" s="377" t="str">
        <f>IF(Tabela16[[#This Row],[Value]]="","",IF(Tabela16[[#This Row],[Institution**]]="","Alert: Fill in Institution",IF('[3]6.Other Exp. Categories'!$B74="M","Note: impute in DPD charging costs for presenting papers at conferences",IF('[3]6.Other Exp. Categories'!$B74="SC","Note: Impute in AQ? SC needs validation from FCiência.ID",IF('[3]6.Other Exp. Categories'!$B74="AE","Note: Limited to a maximum of 10% of the total eligible project expenses",IF(Tabela16[[#This Row],[Expense Category*]]="RH",P90,""))))))</f>
        <v/>
      </c>
      <c r="I74" s="110"/>
      <c r="J74" s="110"/>
      <c r="K74" s="110"/>
      <c r="L74" s="110"/>
      <c r="T74" s="110"/>
      <c r="U74" s="110"/>
      <c r="V74" s="110"/>
      <c r="W74" s="110"/>
      <c r="X74" s="110"/>
      <c r="Y74" s="110"/>
      <c r="Z74" s="110"/>
      <c r="AA74" s="110"/>
      <c r="AB74" s="110"/>
      <c r="AC74" s="110"/>
      <c r="AD74" s="110"/>
      <c r="AE74" s="110"/>
      <c r="AF74" s="110"/>
      <c r="AG74" s="110"/>
      <c r="AH74" s="110"/>
      <c r="AI74" s="110"/>
      <c r="AJ74" s="110"/>
      <c r="AK74" s="110"/>
      <c r="AL74" s="110"/>
    </row>
    <row r="75" spans="1:38" ht="17.2" customHeight="1">
      <c r="A75" s="373">
        <f t="shared" si="6"/>
        <v>73</v>
      </c>
      <c r="B75" s="374"/>
      <c r="C75" s="375"/>
      <c r="D75" s="376"/>
      <c r="E75" s="374"/>
      <c r="F75" s="374"/>
      <c r="G75" s="377" t="str">
        <f>IF(Tabela16[[#This Row],[Value]]="","",IF(Tabela16[[#This Row],[Institution**]]="","Alert: Fill in Institution",IF('[3]6.Other Exp. Categories'!$B75="M","Note: impute in DPD charging costs for presenting papers at conferences",IF('[3]6.Other Exp. Categories'!$B75="SC","Note: Impute in AQ? SC needs validation from FCiência.ID",IF('[3]6.Other Exp. Categories'!$B75="AE","Note: Limited to a maximum of 10% of the total eligible project expenses",IF(Tabela16[[#This Row],[Expense Category*]]="RH",P91,""))))))</f>
        <v/>
      </c>
      <c r="I75" s="110"/>
      <c r="J75" s="110"/>
      <c r="K75" s="110"/>
      <c r="L75" s="110"/>
      <c r="T75" s="110"/>
      <c r="U75" s="110"/>
      <c r="V75" s="110"/>
      <c r="W75" s="110"/>
      <c r="X75" s="110"/>
      <c r="Y75" s="110"/>
      <c r="Z75" s="110"/>
      <c r="AA75" s="110"/>
      <c r="AB75" s="110"/>
      <c r="AC75" s="110"/>
      <c r="AD75" s="110"/>
      <c r="AE75" s="110"/>
      <c r="AF75" s="110"/>
      <c r="AG75" s="110"/>
      <c r="AH75" s="110"/>
      <c r="AI75" s="110"/>
      <c r="AJ75" s="110"/>
      <c r="AK75" s="110"/>
      <c r="AL75" s="110"/>
    </row>
    <row r="76" spans="1:38" ht="17.2" customHeight="1">
      <c r="A76" s="373">
        <f t="shared" si="6"/>
        <v>74</v>
      </c>
      <c r="B76" s="374"/>
      <c r="C76" s="375"/>
      <c r="D76" s="376"/>
      <c r="E76" s="374"/>
      <c r="F76" s="374"/>
      <c r="G76" s="377" t="str">
        <f>IF(Tabela16[[#This Row],[Value]]="","",IF(Tabela16[[#This Row],[Institution**]]="","Alert: Fill in Institution",IF('[3]6.Other Exp. Categories'!$B76="M","Note: impute in DPD charging costs for presenting papers at conferences",IF('[3]6.Other Exp. Categories'!$B76="SC","Note: Impute in AQ? SC needs validation from FCiência.ID",IF('[3]6.Other Exp. Categories'!$B76="AE","Note: Limited to a maximum of 10% of the total eligible project expenses",IF(Tabela16[[#This Row],[Expense Category*]]="RH",P92,""))))))</f>
        <v/>
      </c>
      <c r="I76" s="110"/>
      <c r="J76" s="110"/>
      <c r="K76" s="110"/>
      <c r="L76" s="110"/>
      <c r="T76" s="110"/>
      <c r="U76" s="110"/>
      <c r="V76" s="110"/>
      <c r="W76" s="110"/>
      <c r="X76" s="110"/>
      <c r="Y76" s="110"/>
      <c r="Z76" s="110"/>
      <c r="AA76" s="110"/>
      <c r="AB76" s="110"/>
      <c r="AC76" s="110"/>
      <c r="AD76" s="110"/>
      <c r="AE76" s="110"/>
      <c r="AF76" s="110"/>
      <c r="AG76" s="110"/>
      <c r="AH76" s="110"/>
      <c r="AI76" s="110"/>
      <c r="AJ76" s="110"/>
      <c r="AK76" s="110"/>
      <c r="AL76" s="110"/>
    </row>
    <row r="77" spans="1:38" ht="17.2" customHeight="1">
      <c r="A77" s="373">
        <f t="shared" si="6"/>
        <v>75</v>
      </c>
      <c r="B77" s="374"/>
      <c r="C77" s="375"/>
      <c r="D77" s="376"/>
      <c r="E77" s="374"/>
      <c r="F77" s="374"/>
      <c r="G77" s="377" t="str">
        <f>IF(Tabela16[[#This Row],[Value]]="","",IF(Tabela16[[#This Row],[Institution**]]="","Alert: Fill in Institution",IF('[3]6.Other Exp. Categories'!$B77="M","Note: impute in DPD charging costs for presenting papers at conferences",IF('[3]6.Other Exp. Categories'!$B77="SC","Note: Impute in AQ? SC needs validation from FCiência.ID",IF('[3]6.Other Exp. Categories'!$B77="AE","Note: Limited to a maximum of 10% of the total eligible project expenses",IF(Tabela16[[#This Row],[Expense Category*]]="RH",P93,""))))))</f>
        <v/>
      </c>
      <c r="I77" s="110"/>
      <c r="J77" s="110"/>
      <c r="K77" s="110"/>
      <c r="L77" s="110"/>
      <c r="T77" s="110"/>
      <c r="U77" s="110"/>
      <c r="V77" s="110"/>
      <c r="W77" s="110"/>
      <c r="X77" s="110"/>
      <c r="Y77" s="110"/>
      <c r="Z77" s="110"/>
      <c r="AA77" s="110"/>
      <c r="AB77" s="110"/>
      <c r="AC77" s="110"/>
      <c r="AD77" s="110"/>
      <c r="AE77" s="110"/>
      <c r="AF77" s="110"/>
      <c r="AG77" s="110"/>
      <c r="AH77" s="110"/>
      <c r="AI77" s="110"/>
      <c r="AJ77" s="110"/>
      <c r="AK77" s="110"/>
      <c r="AL77" s="110"/>
    </row>
    <row r="78" spans="1:38" ht="17.2" customHeight="1">
      <c r="A78" s="373">
        <f t="shared" si="6"/>
        <v>76</v>
      </c>
      <c r="B78" s="374"/>
      <c r="C78" s="375"/>
      <c r="D78" s="376"/>
      <c r="E78" s="374"/>
      <c r="F78" s="374"/>
      <c r="G78" s="377" t="str">
        <f>IF(Tabela16[[#This Row],[Value]]="","",IF(Tabela16[[#This Row],[Institution**]]="","Alert: Fill in Institution",IF('[3]6.Other Exp. Categories'!$B78="M","Note: impute in DPD charging costs for presenting papers at conferences",IF('[3]6.Other Exp. Categories'!$B78="SC","Note: Impute in AQ? SC needs validation from FCiência.ID",IF('[3]6.Other Exp. Categories'!$B78="AE","Note: Limited to a maximum of 10% of the total eligible project expenses",IF(Tabela16[[#This Row],[Expense Category*]]="RH",P94,""))))))</f>
        <v/>
      </c>
      <c r="I78" s="110"/>
      <c r="J78" s="110"/>
      <c r="K78" s="110"/>
      <c r="L78" s="110"/>
      <c r="T78" s="110"/>
      <c r="U78" s="110"/>
      <c r="V78" s="110"/>
      <c r="W78" s="110"/>
      <c r="X78" s="110"/>
      <c r="Y78" s="110"/>
      <c r="Z78" s="110"/>
      <c r="AA78" s="110"/>
      <c r="AB78" s="110"/>
      <c r="AC78" s="110"/>
      <c r="AD78" s="110"/>
      <c r="AE78" s="110"/>
      <c r="AF78" s="110"/>
      <c r="AG78" s="110"/>
      <c r="AH78" s="110"/>
      <c r="AI78" s="110"/>
      <c r="AJ78" s="110"/>
      <c r="AK78" s="110"/>
      <c r="AL78" s="110"/>
    </row>
    <row r="79" spans="1:38" ht="17.2" customHeight="1">
      <c r="A79" s="373">
        <f t="shared" si="6"/>
        <v>77</v>
      </c>
      <c r="B79" s="374"/>
      <c r="C79" s="375"/>
      <c r="D79" s="376"/>
      <c r="E79" s="374"/>
      <c r="F79" s="374"/>
      <c r="G79" s="377" t="str">
        <f>IF(Tabela16[[#This Row],[Value]]="","",IF(Tabela16[[#This Row],[Institution**]]="","Alert: Fill in Institution",IF('[3]6.Other Exp. Categories'!$B79="M","Note: impute in DPD charging costs for presenting papers at conferences",IF('[3]6.Other Exp. Categories'!$B79="SC","Note: Impute in AQ? SC needs validation from FCiência.ID",IF('[3]6.Other Exp. Categories'!$B79="AE","Note: Limited to a maximum of 10% of the total eligible project expenses",IF(Tabela16[[#This Row],[Expense Category*]]="RH",P95,""))))))</f>
        <v/>
      </c>
      <c r="I79" s="110"/>
      <c r="J79" s="110"/>
      <c r="K79" s="110"/>
      <c r="L79" s="110"/>
      <c r="T79" s="110"/>
      <c r="U79" s="110"/>
      <c r="V79" s="110"/>
      <c r="W79" s="110"/>
      <c r="X79" s="110"/>
      <c r="Y79" s="110"/>
      <c r="Z79" s="110"/>
      <c r="AA79" s="110"/>
      <c r="AB79" s="110"/>
      <c r="AC79" s="110"/>
      <c r="AD79" s="110"/>
      <c r="AE79" s="110"/>
      <c r="AF79" s="110"/>
      <c r="AG79" s="110"/>
      <c r="AH79" s="110"/>
      <c r="AI79" s="110"/>
      <c r="AJ79" s="110"/>
      <c r="AK79" s="110"/>
      <c r="AL79" s="110"/>
    </row>
    <row r="80" spans="1:38" ht="17.2" customHeight="1">
      <c r="A80" s="373">
        <f t="shared" si="6"/>
        <v>78</v>
      </c>
      <c r="B80" s="374"/>
      <c r="C80" s="375"/>
      <c r="D80" s="376"/>
      <c r="E80" s="374"/>
      <c r="F80" s="374"/>
      <c r="G80" s="377" t="str">
        <f>IF(Tabela16[[#This Row],[Value]]="","",IF(Tabela16[[#This Row],[Institution**]]="","Alert: Fill in Institution",IF('[3]6.Other Exp. Categories'!$B80="M","Note: impute in DPD charging costs for presenting papers at conferences",IF('[3]6.Other Exp. Categories'!$B80="SC","Note: Impute in AQ? SC needs validation from FCiência.ID",IF('[3]6.Other Exp. Categories'!$B80="AE","Note: Limited to a maximum of 10% of the total eligible project expenses",IF(Tabela16[[#This Row],[Expense Category*]]="RH",P96,""))))))</f>
        <v/>
      </c>
      <c r="I80" s="110"/>
      <c r="J80" s="110"/>
      <c r="K80" s="110"/>
      <c r="L80" s="110"/>
      <c r="T80" s="110"/>
      <c r="U80" s="110"/>
      <c r="V80" s="110"/>
      <c r="W80" s="110"/>
      <c r="X80" s="110"/>
      <c r="Y80" s="110"/>
      <c r="Z80" s="110"/>
      <c r="AA80" s="110"/>
      <c r="AB80" s="110"/>
      <c r="AC80" s="110"/>
      <c r="AD80" s="110"/>
      <c r="AE80" s="110"/>
      <c r="AF80" s="110"/>
      <c r="AG80" s="110"/>
      <c r="AH80" s="110"/>
      <c r="AI80" s="110"/>
      <c r="AJ80" s="110"/>
      <c r="AK80" s="110"/>
      <c r="AL80" s="110"/>
    </row>
    <row r="81" spans="1:38" ht="17.2" customHeight="1">
      <c r="A81" s="373">
        <f t="shared" si="6"/>
        <v>79</v>
      </c>
      <c r="B81" s="374"/>
      <c r="C81" s="375"/>
      <c r="D81" s="376"/>
      <c r="E81" s="374"/>
      <c r="F81" s="374"/>
      <c r="G81" s="377" t="str">
        <f>IF(Tabela16[[#This Row],[Value]]="","",IF(Tabela16[[#This Row],[Institution**]]="","Alert: Fill in Institution",IF('[3]6.Other Exp. Categories'!$B81="M","Note: impute in DPD charging costs for presenting papers at conferences",IF('[3]6.Other Exp. Categories'!$B81="SC","Note: Impute in AQ? SC needs validation from FCiência.ID",IF('[3]6.Other Exp. Categories'!$B81="AE","Note: Limited to a maximum of 10% of the total eligible project expenses",IF(Tabela16[[#This Row],[Expense Category*]]="RH",P97,""))))))</f>
        <v/>
      </c>
      <c r="I81" s="110"/>
      <c r="J81" s="110"/>
      <c r="K81" s="110"/>
      <c r="L81" s="110"/>
      <c r="T81" s="110"/>
      <c r="U81" s="110"/>
      <c r="V81" s="110"/>
      <c r="W81" s="110"/>
      <c r="X81" s="110"/>
      <c r="Y81" s="110"/>
      <c r="Z81" s="110"/>
      <c r="AA81" s="110"/>
      <c r="AB81" s="110"/>
      <c r="AC81" s="110"/>
      <c r="AD81" s="110"/>
      <c r="AE81" s="110"/>
      <c r="AF81" s="110"/>
      <c r="AG81" s="110"/>
      <c r="AH81" s="110"/>
      <c r="AI81" s="110"/>
      <c r="AJ81" s="110"/>
      <c r="AK81" s="110"/>
      <c r="AL81" s="110"/>
    </row>
    <row r="82" spans="1:38" ht="17.2" customHeight="1">
      <c r="A82" s="373">
        <f t="shared" si="6"/>
        <v>80</v>
      </c>
      <c r="B82" s="374"/>
      <c r="C82" s="375"/>
      <c r="D82" s="376"/>
      <c r="E82" s="374"/>
      <c r="F82" s="374"/>
      <c r="G82" s="377" t="str">
        <f>IF(Tabela16[[#This Row],[Value]]="","",IF(Tabela16[[#This Row],[Institution**]]="","Alert: Fill in Institution",IF('[3]6.Other Exp. Categories'!$B82="M","Note: impute in DPD charging costs for presenting papers at conferences",IF('[3]6.Other Exp. Categories'!$B82="SC","Note: Impute in AQ? SC needs validation from FCiência.ID",IF('[3]6.Other Exp. Categories'!$B82="AE","Note: Limited to a maximum of 10% of the total eligible project expenses",IF(Tabela16[[#This Row],[Expense Category*]]="RH",P98,""))))))</f>
        <v/>
      </c>
      <c r="I82" s="110"/>
      <c r="J82" s="110"/>
      <c r="K82" s="110"/>
      <c r="L82" s="110"/>
      <c r="T82" s="110"/>
      <c r="U82" s="110"/>
      <c r="V82" s="110"/>
      <c r="W82" s="110"/>
      <c r="X82" s="110"/>
      <c r="Y82" s="110"/>
      <c r="Z82" s="110"/>
      <c r="AA82" s="110"/>
      <c r="AB82" s="110"/>
      <c r="AC82" s="110"/>
      <c r="AD82" s="110"/>
      <c r="AE82" s="110"/>
      <c r="AF82" s="110"/>
      <c r="AG82" s="110"/>
      <c r="AH82" s="110"/>
      <c r="AI82" s="110"/>
      <c r="AJ82" s="110"/>
      <c r="AK82" s="110"/>
      <c r="AL82" s="110"/>
    </row>
    <row r="83" spans="1:38" ht="17.2" customHeight="1">
      <c r="A83" s="373">
        <f t="shared" si="6"/>
        <v>81</v>
      </c>
      <c r="B83" s="374"/>
      <c r="C83" s="375"/>
      <c r="D83" s="376"/>
      <c r="E83" s="374"/>
      <c r="F83" s="374"/>
      <c r="G83" s="377" t="str">
        <f>IF(Tabela16[[#This Row],[Value]]="","",IF(Tabela16[[#This Row],[Institution**]]="","Alert: Fill in Institution",IF('[3]6.Other Exp. Categories'!$B83="M","Note: impute in DPD charging costs for presenting papers at conferences",IF('[3]6.Other Exp. Categories'!$B83="SC","Note: Impute in AQ? SC needs validation from FCiência.ID",IF('[3]6.Other Exp. Categories'!$B83="AE","Note: Limited to a maximum of 10% of the total eligible project expenses",IF(Tabela16[[#This Row],[Expense Category*]]="RH",P99,""))))))</f>
        <v/>
      </c>
      <c r="I83" s="110"/>
      <c r="J83" s="110"/>
      <c r="K83" s="110"/>
      <c r="L83" s="110"/>
      <c r="T83" s="110"/>
      <c r="U83" s="110"/>
      <c r="V83" s="110"/>
      <c r="W83" s="110"/>
      <c r="X83" s="110"/>
      <c r="Y83" s="110"/>
      <c r="Z83" s="110"/>
      <c r="AA83" s="110"/>
      <c r="AB83" s="110"/>
      <c r="AC83" s="110"/>
      <c r="AD83" s="110"/>
      <c r="AE83" s="110"/>
      <c r="AF83" s="110"/>
      <c r="AG83" s="110"/>
      <c r="AH83" s="110"/>
      <c r="AI83" s="110"/>
      <c r="AJ83" s="110"/>
      <c r="AK83" s="110"/>
      <c r="AL83" s="110"/>
    </row>
    <row r="84" spans="1:38" ht="17.2" customHeight="1">
      <c r="A84" s="373">
        <f t="shared" si="6"/>
        <v>82</v>
      </c>
      <c r="B84" s="374"/>
      <c r="C84" s="375"/>
      <c r="D84" s="376"/>
      <c r="E84" s="374"/>
      <c r="F84" s="374"/>
      <c r="G84" s="377" t="str">
        <f>IF(Tabela16[[#This Row],[Value]]="","",IF(Tabela16[[#This Row],[Institution**]]="","Alert: Fill in Institution",IF('[3]6.Other Exp. Categories'!$B84="M","Note: impute in DPD charging costs for presenting papers at conferences",IF('[3]6.Other Exp. Categories'!$B84="SC","Note: Impute in AQ? SC needs validation from FCiência.ID",IF('[3]6.Other Exp. Categories'!$B84="AE","Note: Limited to a maximum of 10% of the total eligible project expenses",IF(Tabela16[[#This Row],[Expense Category*]]="RH",P100,""))))))</f>
        <v/>
      </c>
      <c r="I84" s="110"/>
      <c r="J84" s="110"/>
      <c r="K84" s="110"/>
      <c r="L84" s="110"/>
      <c r="T84" s="110"/>
      <c r="U84" s="110"/>
      <c r="V84" s="110"/>
      <c r="W84" s="110"/>
      <c r="X84" s="110"/>
      <c r="Y84" s="110"/>
      <c r="Z84" s="110"/>
      <c r="AA84" s="110"/>
      <c r="AB84" s="110"/>
      <c r="AC84" s="110"/>
      <c r="AD84" s="110"/>
      <c r="AE84" s="110"/>
      <c r="AF84" s="110"/>
      <c r="AG84" s="110"/>
      <c r="AH84" s="110"/>
      <c r="AI84" s="110"/>
      <c r="AJ84" s="110"/>
      <c r="AK84" s="110"/>
      <c r="AL84" s="110"/>
    </row>
    <row r="85" spans="1:38" ht="17.2" customHeight="1">
      <c r="A85" s="373">
        <f t="shared" si="6"/>
        <v>83</v>
      </c>
      <c r="B85" s="374"/>
      <c r="C85" s="375"/>
      <c r="D85" s="376"/>
      <c r="E85" s="374"/>
      <c r="F85" s="374"/>
      <c r="G85" s="377" t="str">
        <f>IF(Tabela16[[#This Row],[Value]]="","",IF(Tabela16[[#This Row],[Institution**]]="","Alert: Fill in Institution",IF('[3]6.Other Exp. Categories'!$B85="M","Note: impute in DPD charging costs for presenting papers at conferences",IF('[3]6.Other Exp. Categories'!$B85="SC","Note: Impute in AQ? SC needs validation from FCiência.ID",IF('[3]6.Other Exp. Categories'!$B85="AE","Note: Limited to a maximum of 10% of the total eligible project expenses",IF(Tabela16[[#This Row],[Expense Category*]]="RH",P101,""))))))</f>
        <v/>
      </c>
      <c r="I85" s="110"/>
      <c r="J85" s="110"/>
      <c r="K85" s="110"/>
      <c r="L85" s="110"/>
      <c r="T85" s="110"/>
      <c r="U85" s="110"/>
      <c r="V85" s="110"/>
      <c r="W85" s="110"/>
      <c r="X85" s="110"/>
      <c r="Y85" s="110"/>
      <c r="Z85" s="110"/>
      <c r="AA85" s="110"/>
      <c r="AB85" s="110"/>
      <c r="AC85" s="110"/>
      <c r="AD85" s="110"/>
      <c r="AE85" s="110"/>
      <c r="AF85" s="110"/>
      <c r="AG85" s="110"/>
      <c r="AH85" s="110"/>
      <c r="AI85" s="110"/>
      <c r="AJ85" s="110"/>
      <c r="AK85" s="110"/>
      <c r="AL85" s="110"/>
    </row>
    <row r="86" spans="1:38" ht="17.2" customHeight="1">
      <c r="A86" s="373">
        <f t="shared" si="6"/>
        <v>84</v>
      </c>
      <c r="B86" s="374"/>
      <c r="C86" s="375"/>
      <c r="D86" s="376"/>
      <c r="E86" s="374"/>
      <c r="F86" s="374"/>
      <c r="G86" s="377" t="str">
        <f>IF(Tabela16[[#This Row],[Value]]="","",IF(Tabela16[[#This Row],[Institution**]]="","Alert: Fill in Institution",IF('[3]6.Other Exp. Categories'!$B86="M","Note: impute in DPD charging costs for presenting papers at conferences",IF('[3]6.Other Exp. Categories'!$B86="SC","Note: Impute in AQ? SC needs validation from FCiência.ID",IF('[3]6.Other Exp. Categories'!$B86="AE","Note: Limited to a maximum of 10% of the total eligible project expenses",IF(Tabela16[[#This Row],[Expense Category*]]="RH",P102,""))))))</f>
        <v/>
      </c>
      <c r="I86" s="110"/>
      <c r="J86" s="110"/>
      <c r="K86" s="110"/>
      <c r="L86" s="110"/>
      <c r="T86" s="110"/>
      <c r="U86" s="110"/>
      <c r="V86" s="110"/>
      <c r="W86" s="110"/>
      <c r="X86" s="110"/>
      <c r="Y86" s="110"/>
      <c r="Z86" s="110"/>
      <c r="AA86" s="110"/>
      <c r="AB86" s="110"/>
      <c r="AC86" s="110"/>
      <c r="AD86" s="110"/>
      <c r="AE86" s="110"/>
      <c r="AF86" s="110"/>
      <c r="AG86" s="110"/>
      <c r="AH86" s="110"/>
      <c r="AI86" s="110"/>
      <c r="AJ86" s="110"/>
      <c r="AK86" s="110"/>
      <c r="AL86" s="110"/>
    </row>
    <row r="87" spans="1:38" ht="17.2" customHeight="1">
      <c r="A87" s="373">
        <f t="shared" si="6"/>
        <v>85</v>
      </c>
      <c r="B87" s="374"/>
      <c r="C87" s="375"/>
      <c r="D87" s="376"/>
      <c r="E87" s="374"/>
      <c r="F87" s="374"/>
      <c r="G87" s="377" t="str">
        <f>IF(Tabela16[[#This Row],[Value]]="","",IF(Tabela16[[#This Row],[Institution**]]="","Alert: Fill in Institution",IF('[3]6.Other Exp. Categories'!$B87="M","Note: impute in DPD charging costs for presenting papers at conferences",IF('[3]6.Other Exp. Categories'!$B87="SC","Note: Impute in AQ? SC needs validation from FCiência.ID",IF('[3]6.Other Exp. Categories'!$B87="AE","Note: Limited to a maximum of 10% of the total eligible project expenses",IF(Tabela16[[#This Row],[Expense Category*]]="RH",P103,""))))))</f>
        <v/>
      </c>
      <c r="I87" s="110"/>
      <c r="J87" s="110"/>
      <c r="K87" s="110"/>
      <c r="L87" s="110"/>
      <c r="T87" s="110"/>
      <c r="U87" s="110"/>
      <c r="V87" s="110"/>
      <c r="W87" s="110"/>
      <c r="X87" s="110"/>
      <c r="Y87" s="110"/>
      <c r="Z87" s="110"/>
      <c r="AA87" s="110"/>
      <c r="AB87" s="110"/>
      <c r="AC87" s="110"/>
      <c r="AD87" s="110"/>
      <c r="AE87" s="110"/>
      <c r="AF87" s="110"/>
      <c r="AG87" s="110"/>
      <c r="AH87" s="110"/>
      <c r="AI87" s="110"/>
      <c r="AJ87" s="110"/>
      <c r="AK87" s="110"/>
      <c r="AL87" s="110"/>
    </row>
    <row r="88" spans="1:38" ht="17.2" customHeight="1">
      <c r="A88" s="373">
        <f t="shared" si="6"/>
        <v>86</v>
      </c>
      <c r="B88" s="374"/>
      <c r="C88" s="375"/>
      <c r="D88" s="376"/>
      <c r="E88" s="374"/>
      <c r="F88" s="374"/>
      <c r="G88" s="377" t="str">
        <f>IF(Tabela16[[#This Row],[Value]]="","",IF(Tabela16[[#This Row],[Institution**]]="","Alert: Fill in Institution",IF('[3]6.Other Exp. Categories'!$B88="M","Note: impute in DPD charging costs for presenting papers at conferences",IF('[3]6.Other Exp. Categories'!$B88="SC","Note: Impute in AQ? SC needs validation from FCiência.ID",IF('[3]6.Other Exp. Categories'!$B88="AE","Note: Limited to a maximum of 10% of the total eligible project expenses",IF(Tabela16[[#This Row],[Expense Category*]]="RH",P104,""))))))</f>
        <v/>
      </c>
      <c r="I88" s="110"/>
      <c r="J88" s="110"/>
      <c r="K88" s="110"/>
      <c r="L88" s="110"/>
      <c r="T88" s="110"/>
      <c r="U88" s="110"/>
      <c r="V88" s="110"/>
      <c r="W88" s="110"/>
      <c r="X88" s="110"/>
      <c r="Y88" s="110"/>
      <c r="Z88" s="110"/>
      <c r="AA88" s="110"/>
      <c r="AB88" s="110"/>
      <c r="AC88" s="110"/>
      <c r="AD88" s="110"/>
      <c r="AE88" s="110"/>
      <c r="AF88" s="110"/>
      <c r="AG88" s="110"/>
      <c r="AH88" s="110"/>
      <c r="AI88" s="110"/>
      <c r="AJ88" s="110"/>
      <c r="AK88" s="110"/>
      <c r="AL88" s="110"/>
    </row>
    <row r="89" spans="1:38" ht="17.2" customHeight="1">
      <c r="A89" s="373">
        <f t="shared" si="6"/>
        <v>87</v>
      </c>
      <c r="B89" s="374"/>
      <c r="C89" s="375"/>
      <c r="D89" s="376"/>
      <c r="E89" s="374"/>
      <c r="F89" s="374"/>
      <c r="G89" s="377" t="str">
        <f>IF(Tabela16[[#This Row],[Value]]="","",IF(Tabela16[[#This Row],[Institution**]]="","Alert: Fill in Institution",IF('[3]6.Other Exp. Categories'!$B89="M","Note: impute in DPD charging costs for presenting papers at conferences",IF('[3]6.Other Exp. Categories'!$B89="SC","Note: Impute in AQ? SC needs validation from FCiência.ID",IF('[3]6.Other Exp. Categories'!$B89="AE","Note: Limited to a maximum of 10% of the total eligible project expenses",IF(Tabela16[[#This Row],[Expense Category*]]="RH",P105,""))))))</f>
        <v/>
      </c>
      <c r="I89" s="110"/>
      <c r="J89" s="110"/>
      <c r="K89" s="110"/>
      <c r="L89" s="110"/>
      <c r="T89" s="110"/>
      <c r="U89" s="110"/>
      <c r="V89" s="110"/>
      <c r="W89" s="110"/>
      <c r="X89" s="110"/>
      <c r="Y89" s="110"/>
      <c r="Z89" s="110"/>
      <c r="AA89" s="110"/>
      <c r="AB89" s="110"/>
      <c r="AC89" s="110"/>
      <c r="AD89" s="110"/>
      <c r="AE89" s="110"/>
      <c r="AF89" s="110"/>
      <c r="AG89" s="110"/>
      <c r="AH89" s="110"/>
      <c r="AI89" s="110"/>
      <c r="AJ89" s="110"/>
      <c r="AK89" s="110"/>
      <c r="AL89" s="110"/>
    </row>
    <row r="90" spans="1:38" ht="17.2" customHeight="1">
      <c r="A90" s="373">
        <f t="shared" si="6"/>
        <v>88</v>
      </c>
      <c r="B90" s="374"/>
      <c r="C90" s="375"/>
      <c r="D90" s="376"/>
      <c r="E90" s="374"/>
      <c r="F90" s="374"/>
      <c r="G90" s="377" t="str">
        <f>IF(Tabela16[[#This Row],[Value]]="","",IF(Tabela16[[#This Row],[Institution**]]="","Alert: Fill in Institution",IF('[3]6.Other Exp. Categories'!$B90="M","Note: impute in DPD charging costs for presenting papers at conferences",IF('[3]6.Other Exp. Categories'!$B90="SC","Note: Impute in AQ? SC needs validation from FCiência.ID",IF('[3]6.Other Exp. Categories'!$B90="AE","Note: Limited to a maximum of 10% of the total eligible project expenses",IF(Tabela16[[#This Row],[Expense Category*]]="RH",P106,""))))))</f>
        <v/>
      </c>
      <c r="I90" s="110"/>
      <c r="J90" s="110"/>
      <c r="K90" s="110"/>
      <c r="L90" s="110"/>
      <c r="T90" s="110"/>
      <c r="U90" s="110"/>
      <c r="V90" s="110"/>
      <c r="W90" s="110"/>
      <c r="X90" s="110"/>
      <c r="Y90" s="110"/>
      <c r="Z90" s="110"/>
      <c r="AA90" s="110"/>
      <c r="AB90" s="110"/>
      <c r="AC90" s="110"/>
      <c r="AD90" s="110"/>
      <c r="AE90" s="110"/>
      <c r="AF90" s="110"/>
      <c r="AG90" s="110"/>
      <c r="AH90" s="110"/>
      <c r="AI90" s="110"/>
      <c r="AJ90" s="110"/>
      <c r="AK90" s="110"/>
      <c r="AL90" s="110"/>
    </row>
    <row r="91" spans="1:38" ht="17.2" customHeight="1">
      <c r="A91" s="373">
        <f t="shared" si="6"/>
        <v>89</v>
      </c>
      <c r="B91" s="374"/>
      <c r="C91" s="375"/>
      <c r="D91" s="376"/>
      <c r="E91" s="374"/>
      <c r="F91" s="374"/>
      <c r="G91" s="377" t="str">
        <f>IF(Tabela16[[#This Row],[Value]]="","",IF(Tabela16[[#This Row],[Institution**]]="","Alert: Fill in Institution",IF('[3]6.Other Exp. Categories'!$B91="M","Note: impute in DPD charging costs for presenting papers at conferences",IF('[3]6.Other Exp. Categories'!$B91="SC","Note: Impute in AQ? SC needs validation from FCiência.ID",IF('[3]6.Other Exp. Categories'!$B91="AE","Note: Limited to a maximum of 10% of the total eligible project expenses",IF(Tabela16[[#This Row],[Expense Category*]]="RH",P107,""))))))</f>
        <v/>
      </c>
      <c r="I91" s="110"/>
      <c r="J91" s="110"/>
      <c r="K91" s="110"/>
      <c r="L91" s="110"/>
      <c r="T91" s="110"/>
      <c r="U91" s="110"/>
      <c r="V91" s="110"/>
      <c r="W91" s="110"/>
      <c r="X91" s="110"/>
      <c r="Y91" s="110"/>
      <c r="Z91" s="110"/>
      <c r="AA91" s="110"/>
      <c r="AB91" s="110"/>
      <c r="AC91" s="110"/>
      <c r="AD91" s="110"/>
      <c r="AE91" s="110"/>
      <c r="AF91" s="110"/>
      <c r="AG91" s="110"/>
      <c r="AH91" s="110"/>
      <c r="AI91" s="110"/>
      <c r="AJ91" s="110"/>
      <c r="AK91" s="110"/>
      <c r="AL91" s="110"/>
    </row>
    <row r="92" spans="1:38" ht="17.2" customHeight="1">
      <c r="A92" s="373">
        <f t="shared" si="6"/>
        <v>90</v>
      </c>
      <c r="B92" s="374"/>
      <c r="C92" s="375"/>
      <c r="D92" s="376"/>
      <c r="E92" s="374"/>
      <c r="F92" s="374"/>
      <c r="G92" s="377" t="str">
        <f>IF(Tabela16[[#This Row],[Value]]="","",IF(Tabela16[[#This Row],[Institution**]]="","Alert: Fill in Institution",IF('[3]6.Other Exp. Categories'!$B92="M","Note: impute in DPD charging costs for presenting papers at conferences",IF('[3]6.Other Exp. Categories'!$B92="SC","Note: Impute in AQ? SC needs validation from FCiência.ID",IF('[3]6.Other Exp. Categories'!$B92="AE","Note: Limited to a maximum of 10% of the total eligible project expenses",IF(Tabela16[[#This Row],[Expense Category*]]="RH",P108,""))))))</f>
        <v/>
      </c>
      <c r="I92" s="110"/>
      <c r="J92" s="110"/>
      <c r="K92" s="110"/>
      <c r="L92" s="110"/>
      <c r="T92" s="110"/>
      <c r="U92" s="110"/>
      <c r="V92" s="110"/>
      <c r="W92" s="110"/>
      <c r="X92" s="110"/>
      <c r="Y92" s="110"/>
      <c r="Z92" s="110"/>
      <c r="AA92" s="110"/>
      <c r="AB92" s="110"/>
      <c r="AC92" s="110"/>
      <c r="AD92" s="110"/>
      <c r="AE92" s="110"/>
      <c r="AF92" s="110"/>
      <c r="AG92" s="110"/>
      <c r="AH92" s="110"/>
      <c r="AI92" s="110"/>
      <c r="AJ92" s="110"/>
      <c r="AK92" s="110"/>
      <c r="AL92" s="110"/>
    </row>
    <row r="93" spans="1:38" ht="17.2" customHeight="1">
      <c r="A93" s="373">
        <f t="shared" si="6"/>
        <v>91</v>
      </c>
      <c r="B93" s="374"/>
      <c r="C93" s="375"/>
      <c r="D93" s="376"/>
      <c r="E93" s="374"/>
      <c r="F93" s="374"/>
      <c r="G93" s="377" t="str">
        <f>IF(Tabela16[[#This Row],[Value]]="","",IF(Tabela16[[#This Row],[Institution**]]="","Alert: Fill in Institution",IF('[3]6.Other Exp. Categories'!$B93="M","Note: impute in DPD charging costs for presenting papers at conferences",IF('[3]6.Other Exp. Categories'!$B93="SC","Note: Impute in AQ? SC needs validation from FCiência.ID",IF('[3]6.Other Exp. Categories'!$B93="AE","Note: Limited to a maximum of 10% of the total eligible project expenses",IF(Tabela16[[#This Row],[Expense Category*]]="RH",P109,""))))))</f>
        <v/>
      </c>
      <c r="I93" s="110"/>
      <c r="J93" s="110"/>
      <c r="K93" s="110"/>
      <c r="L93" s="110"/>
      <c r="T93" s="110"/>
      <c r="U93" s="110"/>
      <c r="V93" s="110"/>
      <c r="W93" s="110"/>
      <c r="X93" s="110"/>
      <c r="Y93" s="110"/>
      <c r="Z93" s="110"/>
      <c r="AA93" s="110"/>
      <c r="AB93" s="110"/>
      <c r="AC93" s="110"/>
      <c r="AD93" s="110"/>
      <c r="AE93" s="110"/>
      <c r="AF93" s="110"/>
      <c r="AG93" s="110"/>
      <c r="AH93" s="110"/>
      <c r="AI93" s="110"/>
      <c r="AJ93" s="110"/>
      <c r="AK93" s="110"/>
      <c r="AL93" s="110"/>
    </row>
    <row r="94" spans="1:38" ht="17.2" customHeight="1">
      <c r="A94" s="373">
        <f t="shared" si="6"/>
        <v>92</v>
      </c>
      <c r="B94" s="374"/>
      <c r="C94" s="375"/>
      <c r="D94" s="376"/>
      <c r="E94" s="374"/>
      <c r="F94" s="374"/>
      <c r="G94" s="377" t="str">
        <f>IF(Tabela16[[#This Row],[Value]]="","",IF(Tabela16[[#This Row],[Institution**]]="","Alert: Fill in Institution",IF('[3]6.Other Exp. Categories'!$B94="M","Note: impute in DPD charging costs for presenting papers at conferences",IF('[3]6.Other Exp. Categories'!$B94="SC","Note: Impute in AQ? SC needs validation from FCiência.ID",IF('[3]6.Other Exp. Categories'!$B94="AE","Note: Limited to a maximum of 10% of the total eligible project expenses",IF(Tabela16[[#This Row],[Expense Category*]]="RH",P110,""))))))</f>
        <v/>
      </c>
      <c r="I94" s="110"/>
      <c r="J94" s="110"/>
      <c r="K94" s="110"/>
      <c r="L94" s="110"/>
      <c r="T94" s="110"/>
      <c r="U94" s="110"/>
      <c r="V94" s="110"/>
      <c r="W94" s="110"/>
      <c r="X94" s="110"/>
      <c r="Y94" s="110"/>
      <c r="Z94" s="110"/>
      <c r="AA94" s="110"/>
      <c r="AB94" s="110"/>
      <c r="AC94" s="110"/>
      <c r="AD94" s="110"/>
      <c r="AE94" s="110"/>
      <c r="AF94" s="110"/>
      <c r="AG94" s="110"/>
      <c r="AH94" s="110"/>
      <c r="AI94" s="110"/>
      <c r="AJ94" s="110"/>
      <c r="AK94" s="110"/>
      <c r="AL94" s="110"/>
    </row>
    <row r="95" spans="1:38" ht="17.2" customHeight="1">
      <c r="A95" s="373">
        <f t="shared" si="6"/>
        <v>93</v>
      </c>
      <c r="B95" s="374"/>
      <c r="C95" s="375"/>
      <c r="D95" s="376"/>
      <c r="E95" s="374"/>
      <c r="F95" s="374"/>
      <c r="G95" s="377" t="str">
        <f>IF(Tabela16[[#This Row],[Value]]="","",IF(Tabela16[[#This Row],[Institution**]]="","Alert: Fill in Institution",IF('[3]6.Other Exp. Categories'!$B95="M","Note: impute in DPD charging costs for presenting papers at conferences",IF('[3]6.Other Exp. Categories'!$B95="SC","Note: Impute in AQ? SC needs validation from FCiência.ID",IF('[3]6.Other Exp. Categories'!$B95="AE","Note: Limited to a maximum of 10% of the total eligible project expenses",IF(Tabela16[[#This Row],[Expense Category*]]="RH",P111,""))))))</f>
        <v/>
      </c>
      <c r="I95" s="110"/>
      <c r="J95" s="110"/>
      <c r="K95" s="110"/>
      <c r="L95" s="110"/>
      <c r="T95" s="110"/>
      <c r="U95" s="110"/>
      <c r="V95" s="110"/>
      <c r="W95" s="110"/>
      <c r="X95" s="110"/>
      <c r="Y95" s="110"/>
      <c r="Z95" s="110"/>
      <c r="AA95" s="110"/>
      <c r="AB95" s="110"/>
      <c r="AC95" s="110"/>
      <c r="AD95" s="110"/>
      <c r="AE95" s="110"/>
      <c r="AF95" s="110"/>
      <c r="AG95" s="110"/>
      <c r="AH95" s="110"/>
      <c r="AI95" s="110"/>
      <c r="AJ95" s="110"/>
      <c r="AK95" s="110"/>
      <c r="AL95" s="110"/>
    </row>
    <row r="96" spans="1:38" ht="17.2" customHeight="1">
      <c r="A96" s="373">
        <f t="shared" si="6"/>
        <v>94</v>
      </c>
      <c r="B96" s="374"/>
      <c r="C96" s="375"/>
      <c r="D96" s="376"/>
      <c r="E96" s="374"/>
      <c r="F96" s="374"/>
      <c r="G96" s="377" t="str">
        <f>IF(Tabela16[[#This Row],[Value]]="","",IF(Tabela16[[#This Row],[Institution**]]="","Alert: Fill in Institution",IF('[3]6.Other Exp. Categories'!$B96="M","Note: impute in DPD charging costs for presenting papers at conferences",IF('[3]6.Other Exp. Categories'!$B96="SC","Note: Impute in AQ? SC needs validation from FCiência.ID",IF('[3]6.Other Exp. Categories'!$B96="AE","Note: Limited to a maximum of 10% of the total eligible project expenses",IF(Tabela16[[#This Row],[Expense Category*]]="RH",P112,""))))))</f>
        <v/>
      </c>
      <c r="I96" s="110"/>
      <c r="J96" s="110"/>
      <c r="K96" s="110"/>
      <c r="L96" s="110"/>
      <c r="T96" s="110"/>
      <c r="U96" s="110"/>
      <c r="V96" s="110"/>
      <c r="W96" s="110"/>
      <c r="X96" s="110"/>
      <c r="Y96" s="110"/>
      <c r="Z96" s="110"/>
      <c r="AA96" s="110"/>
      <c r="AB96" s="110"/>
      <c r="AC96" s="110"/>
      <c r="AD96" s="110"/>
      <c r="AE96" s="110"/>
      <c r="AF96" s="110"/>
      <c r="AG96" s="110"/>
      <c r="AH96" s="110"/>
      <c r="AI96" s="110"/>
      <c r="AJ96" s="110"/>
      <c r="AK96" s="110"/>
      <c r="AL96" s="110"/>
    </row>
    <row r="97" spans="1:38" ht="17.2" customHeight="1">
      <c r="A97" s="373">
        <f t="shared" si="6"/>
        <v>95</v>
      </c>
      <c r="B97" s="374"/>
      <c r="C97" s="375"/>
      <c r="D97" s="376"/>
      <c r="E97" s="374"/>
      <c r="F97" s="374"/>
      <c r="G97" s="377" t="str">
        <f>IF(Tabela16[[#This Row],[Value]]="","",IF(Tabela16[[#This Row],[Institution**]]="","Alert: Fill in Institution",IF('[3]6.Other Exp. Categories'!$B97="M","Note: impute in DPD charging costs for presenting papers at conferences",IF('[3]6.Other Exp. Categories'!$B97="SC","Note: Impute in AQ? SC needs validation from FCiência.ID",IF('[3]6.Other Exp. Categories'!$B97="AE","Note: Limited to a maximum of 10% of the total eligible project expenses",IF(Tabela16[[#This Row],[Expense Category*]]="RH",P113,""))))))</f>
        <v/>
      </c>
      <c r="I97" s="110"/>
      <c r="J97" s="110"/>
      <c r="K97" s="110"/>
      <c r="L97" s="110"/>
      <c r="T97" s="110"/>
      <c r="U97" s="110"/>
      <c r="V97" s="110"/>
      <c r="W97" s="110"/>
      <c r="X97" s="110"/>
      <c r="Y97" s="110"/>
      <c r="Z97" s="110"/>
      <c r="AA97" s="110"/>
      <c r="AB97" s="110"/>
      <c r="AC97" s="110"/>
      <c r="AD97" s="110"/>
      <c r="AE97" s="110"/>
      <c r="AF97" s="110"/>
      <c r="AG97" s="110"/>
      <c r="AH97" s="110"/>
      <c r="AI97" s="110"/>
      <c r="AJ97" s="110"/>
      <c r="AK97" s="110"/>
      <c r="AL97" s="110"/>
    </row>
    <row r="98" spans="1:38" ht="17.2" customHeight="1">
      <c r="A98" s="373">
        <f t="shared" si="6"/>
        <v>96</v>
      </c>
      <c r="B98" s="374"/>
      <c r="C98" s="375"/>
      <c r="D98" s="376"/>
      <c r="E98" s="374"/>
      <c r="F98" s="374"/>
      <c r="G98" s="377" t="str">
        <f>IF(Tabela16[[#This Row],[Value]]="","",IF(Tabela16[[#This Row],[Institution**]]="","Alert: Fill in Institution",IF('[3]6.Other Exp. Categories'!$B98="M","Note: impute in DPD charging costs for presenting papers at conferences",IF('[3]6.Other Exp. Categories'!$B98="SC","Note: Impute in AQ? SC needs validation from FCiência.ID",IF('[3]6.Other Exp. Categories'!$B98="AE","Note: Limited to a maximum of 10% of the total eligible project expenses",IF(Tabela16[[#This Row],[Expense Category*]]="RH",P114,""))))))</f>
        <v/>
      </c>
      <c r="I98" s="110"/>
      <c r="J98" s="110"/>
      <c r="K98" s="110"/>
      <c r="L98" s="110"/>
      <c r="T98" s="110"/>
      <c r="U98" s="110"/>
      <c r="V98" s="110"/>
      <c r="W98" s="110"/>
      <c r="X98" s="110"/>
      <c r="Y98" s="110"/>
      <c r="Z98" s="110"/>
      <c r="AA98" s="110"/>
      <c r="AB98" s="110"/>
      <c r="AC98" s="110"/>
      <c r="AD98" s="110"/>
      <c r="AE98" s="110"/>
      <c r="AF98" s="110"/>
      <c r="AG98" s="110"/>
      <c r="AH98" s="110"/>
      <c r="AI98" s="110"/>
      <c r="AJ98" s="110"/>
      <c r="AK98" s="110"/>
      <c r="AL98" s="110"/>
    </row>
    <row r="99" spans="1:38" ht="17.2" customHeight="1">
      <c r="A99" s="373">
        <f t="shared" si="6"/>
        <v>97</v>
      </c>
      <c r="B99" s="374"/>
      <c r="C99" s="375"/>
      <c r="D99" s="376"/>
      <c r="E99" s="374"/>
      <c r="F99" s="374"/>
      <c r="G99" s="377" t="str">
        <f>IF(Tabela16[[#This Row],[Value]]="","",IF(Tabela16[[#This Row],[Institution**]]="","Alert: Fill in Institution",IF('[3]6.Other Exp. Categories'!$B99="M","Note: impute in DPD charging costs for presenting papers at conferences",IF('[3]6.Other Exp. Categories'!$B99="SC","Note: Impute in AQ? SC needs validation from FCiência.ID",IF('[3]6.Other Exp. Categories'!$B99="AE","Note: Limited to a maximum of 10% of the total eligible project expenses",IF(Tabela16[[#This Row],[Expense Category*]]="RH",P115,""))))))</f>
        <v/>
      </c>
      <c r="I99" s="110"/>
      <c r="J99" s="110"/>
      <c r="K99" s="110"/>
      <c r="L99" s="110"/>
      <c r="T99" s="110"/>
      <c r="U99" s="110"/>
      <c r="V99" s="110"/>
      <c r="W99" s="110"/>
      <c r="X99" s="110"/>
      <c r="Y99" s="110"/>
      <c r="Z99" s="110"/>
      <c r="AA99" s="110"/>
      <c r="AB99" s="110"/>
      <c r="AC99" s="110"/>
      <c r="AD99" s="110"/>
      <c r="AE99" s="110"/>
      <c r="AF99" s="110"/>
      <c r="AG99" s="110"/>
      <c r="AH99" s="110"/>
      <c r="AI99" s="110"/>
      <c r="AJ99" s="110"/>
      <c r="AK99" s="110"/>
      <c r="AL99" s="110"/>
    </row>
    <row r="100" spans="1:38" ht="17.2" customHeight="1">
      <c r="A100" s="373">
        <f t="shared" si="6"/>
        <v>98</v>
      </c>
      <c r="B100" s="374"/>
      <c r="C100" s="375"/>
      <c r="D100" s="376"/>
      <c r="E100" s="374"/>
      <c r="F100" s="374"/>
      <c r="G100" s="377" t="str">
        <f>IF(Tabela16[[#This Row],[Value]]="","",IF(Tabela16[[#This Row],[Institution**]]="","Alert: Fill in Institution",IF('[3]6.Other Exp. Categories'!$B100="M","Note: impute in DPD charging costs for presenting papers at conferences",IF('[3]6.Other Exp. Categories'!$B100="SC","Note: Impute in AQ? SC needs validation from FCiência.ID",IF('[3]6.Other Exp. Categories'!$B100="AE","Note: Limited to a maximum of 10% of the total eligible project expenses",IF(Tabela16[[#This Row],[Expense Category*]]="RH",P116,""))))))</f>
        <v/>
      </c>
      <c r="I100" s="110"/>
      <c r="J100" s="110"/>
      <c r="K100" s="110"/>
      <c r="L100" s="110"/>
      <c r="T100" s="110"/>
      <c r="U100" s="110"/>
      <c r="V100" s="110"/>
      <c r="W100" s="110"/>
      <c r="X100" s="110"/>
      <c r="Y100" s="110"/>
      <c r="Z100" s="110"/>
      <c r="AA100" s="110"/>
      <c r="AB100" s="110"/>
      <c r="AC100" s="110"/>
      <c r="AD100" s="110"/>
      <c r="AE100" s="110"/>
      <c r="AF100" s="110"/>
      <c r="AG100" s="110"/>
      <c r="AH100" s="110"/>
      <c r="AI100" s="110"/>
      <c r="AJ100" s="110"/>
      <c r="AK100" s="110"/>
      <c r="AL100" s="110"/>
    </row>
    <row r="101" spans="1:38" ht="17.2" customHeight="1">
      <c r="A101" s="373">
        <f t="shared" si="6"/>
        <v>99</v>
      </c>
      <c r="B101" s="374"/>
      <c r="C101" s="375"/>
      <c r="D101" s="376"/>
      <c r="E101" s="374"/>
      <c r="F101" s="374"/>
      <c r="G101" s="377" t="str">
        <f>IF(Tabela16[[#This Row],[Value]]="","",IF(Tabela16[[#This Row],[Institution**]]="","Alert: Fill in Institution",IF('[3]6.Other Exp. Categories'!$B101="M","Note: impute in DPD charging costs for presenting papers at conferences",IF('[3]6.Other Exp. Categories'!$B101="SC","Note: Impute in AQ? SC needs validation from FCiência.ID",IF('[3]6.Other Exp. Categories'!$B101="AE","Note: Limited to a maximum of 10% of the total eligible project expenses",IF(Tabela16[[#This Row],[Expense Category*]]="RH",P117,""))))))</f>
        <v/>
      </c>
      <c r="I101" s="110"/>
      <c r="J101" s="110"/>
      <c r="K101" s="110"/>
      <c r="L101" s="110"/>
      <c r="T101" s="110"/>
      <c r="U101" s="110"/>
      <c r="V101" s="110"/>
      <c r="W101" s="110"/>
      <c r="X101" s="110"/>
      <c r="Y101" s="110"/>
      <c r="Z101" s="110"/>
      <c r="AA101" s="110"/>
      <c r="AB101" s="110"/>
      <c r="AC101" s="110"/>
      <c r="AD101" s="110"/>
      <c r="AE101" s="110"/>
      <c r="AF101" s="110"/>
      <c r="AG101" s="110"/>
      <c r="AH101" s="110"/>
      <c r="AI101" s="110"/>
      <c r="AJ101" s="110"/>
      <c r="AK101" s="110"/>
      <c r="AL101" s="110"/>
    </row>
    <row r="102" spans="1:38" ht="17.2" customHeight="1">
      <c r="A102" s="373">
        <f t="shared" si="6"/>
        <v>100</v>
      </c>
      <c r="B102" s="374"/>
      <c r="C102" s="375"/>
      <c r="D102" s="376"/>
      <c r="E102" s="374"/>
      <c r="F102" s="374"/>
      <c r="G102" s="377" t="str">
        <f>IF(Tabela16[[#This Row],[Value]]="","",IF(Tabela16[[#This Row],[Institution**]]="","Alert: Fill in Institution",IF('[3]6.Other Exp. Categories'!$B102="M","Note: impute in DPD charging costs for presenting papers at conferences",IF('[3]6.Other Exp. Categories'!$B102="SC","Note: Impute in AQ? SC needs validation from FCiência.ID",IF('[3]6.Other Exp. Categories'!$B102="AE","Note: Limited to a maximum of 10% of the total eligible project expenses",IF(Tabela16[[#This Row],[Expense Category*]]="RH",P118,""))))))</f>
        <v/>
      </c>
      <c r="I102" s="110"/>
      <c r="J102" s="110"/>
      <c r="K102" s="110"/>
      <c r="L102" s="110"/>
      <c r="T102" s="110"/>
      <c r="U102" s="110"/>
      <c r="V102" s="110"/>
      <c r="W102" s="110"/>
      <c r="X102" s="110"/>
      <c r="Y102" s="110"/>
      <c r="Z102" s="110"/>
      <c r="AA102" s="110"/>
      <c r="AB102" s="110"/>
      <c r="AC102" s="110"/>
      <c r="AD102" s="110"/>
      <c r="AE102" s="110"/>
      <c r="AF102" s="110"/>
      <c r="AG102" s="110"/>
      <c r="AH102" s="110"/>
      <c r="AI102" s="110"/>
      <c r="AJ102" s="110"/>
      <c r="AK102" s="110"/>
      <c r="AL102" s="110"/>
    </row>
    <row r="103" spans="1:38" ht="17.2" customHeight="1">
      <c r="A103" s="373" t="s">
        <v>45</v>
      </c>
      <c r="B103" s="389"/>
      <c r="C103" s="390">
        <f>SUBTOTAL(109,Tabela16[Value])</f>
        <v>0</v>
      </c>
      <c r="D103" s="391"/>
      <c r="E103" s="392"/>
      <c r="F103" s="392"/>
      <c r="G103" s="392"/>
      <c r="I103" s="110"/>
      <c r="J103" s="110"/>
      <c r="K103" s="110"/>
      <c r="L103" s="110"/>
      <c r="T103" s="110"/>
      <c r="U103" s="110"/>
      <c r="V103" s="110"/>
      <c r="W103" s="110"/>
      <c r="X103" s="110"/>
      <c r="Y103" s="110"/>
      <c r="Z103" s="110"/>
      <c r="AA103" s="110"/>
      <c r="AB103" s="110"/>
      <c r="AC103" s="110"/>
      <c r="AD103" s="110"/>
      <c r="AE103" s="110"/>
      <c r="AF103" s="110"/>
      <c r="AG103" s="110"/>
      <c r="AH103" s="110"/>
      <c r="AI103" s="110"/>
      <c r="AJ103" s="110"/>
      <c r="AK103" s="110"/>
      <c r="AL103" s="110"/>
    </row>
    <row r="104" spans="1:38">
      <c r="A104" s="373"/>
      <c r="B104" s="373"/>
      <c r="C104" s="393"/>
      <c r="D104" s="174"/>
      <c r="E104" s="164"/>
      <c r="F104" s="164"/>
      <c r="T104" s="110"/>
      <c r="U104" s="110"/>
      <c r="V104" s="110"/>
      <c r="W104" s="110"/>
      <c r="X104" s="110"/>
      <c r="Y104" s="110"/>
      <c r="Z104" s="110"/>
      <c r="AA104" s="110"/>
      <c r="AB104" s="110"/>
      <c r="AC104" s="110"/>
      <c r="AD104" s="110"/>
      <c r="AE104" s="110"/>
      <c r="AF104" s="110"/>
      <c r="AG104" s="110"/>
      <c r="AJ104" s="350"/>
      <c r="AK104" s="350"/>
      <c r="AL104" s="350"/>
    </row>
    <row r="105" spans="1:38">
      <c r="A105" s="373"/>
      <c r="B105" s="373"/>
      <c r="C105" s="393"/>
      <c r="D105" s="174"/>
      <c r="E105" s="164"/>
      <c r="F105" s="164"/>
    </row>
    <row r="106" spans="1:38">
      <c r="A106" s="373"/>
      <c r="B106" s="373"/>
      <c r="C106" s="393"/>
      <c r="D106" s="174"/>
      <c r="E106" s="164"/>
      <c r="F106" s="164"/>
    </row>
    <row r="107" spans="1:38">
      <c r="A107" s="373"/>
      <c r="B107" s="373"/>
      <c r="C107" s="393"/>
      <c r="D107" s="174"/>
      <c r="E107" s="164"/>
      <c r="F107" s="164"/>
    </row>
    <row r="108" spans="1:38">
      <c r="A108" s="373"/>
      <c r="B108" s="373"/>
      <c r="C108" s="393"/>
      <c r="D108" s="174"/>
      <c r="E108" s="164"/>
      <c r="F108" s="164"/>
    </row>
  </sheetData>
  <sheetProtection algorithmName="SHA-512" hashValue="0CdvHheJGiPZnvu+JrXgu8/RjatJgEbMAH71fMkEgmRGKRGvzi8kxP5uGV1dIdYYRFo5WeJJUPLwiqR4iQzaFA==" saltValue="sPJTH8XalK+MI660lWtzmw==" spinCount="100000" sheet="1" objects="1" scenarios="1"/>
  <dataConsolidate/>
  <mergeCells count="22">
    <mergeCell ref="I15:J15"/>
    <mergeCell ref="I16:J16"/>
    <mergeCell ref="I17:J17"/>
    <mergeCell ref="I19:L21"/>
    <mergeCell ref="A1:D1"/>
    <mergeCell ref="E1:G1"/>
    <mergeCell ref="I1:L1"/>
    <mergeCell ref="I13:K13"/>
    <mergeCell ref="U1:AG1"/>
    <mergeCell ref="AE26:AF26"/>
    <mergeCell ref="AE27:AF27"/>
    <mergeCell ref="U30:AG31"/>
    <mergeCell ref="Y28:AC29"/>
    <mergeCell ref="AE28:AG29"/>
    <mergeCell ref="U28:W29"/>
    <mergeCell ref="U27:V27"/>
    <mergeCell ref="Y25:AB25"/>
    <mergeCell ref="Y26:AB26"/>
    <mergeCell ref="Y27:AB27"/>
    <mergeCell ref="AE25:AF25"/>
    <mergeCell ref="U25:V25"/>
    <mergeCell ref="U26:V26"/>
  </mergeCells>
  <conditionalFormatting sqref="B3:D3 B6:D102 B4:C5">
    <cfRule type="containsBlanks" dxfId="98" priority="55">
      <formula>LEN(TRIM(B3))=0</formula>
    </cfRule>
    <cfRule type="containsBlanks" dxfId="97" priority="56" stopIfTrue="1">
      <formula>LEN(TRIM(B3))=0</formula>
    </cfRule>
  </conditionalFormatting>
  <conditionalFormatting sqref="E3:F102">
    <cfRule type="containsBlanks" dxfId="96" priority="43">
      <formula>LEN(TRIM(E3))=0</formula>
    </cfRule>
    <cfRule type="containsBlanks" dxfId="95" priority="44" stopIfTrue="1">
      <formula>LEN(TRIM(E3))=0</formula>
    </cfRule>
  </conditionalFormatting>
  <conditionalFormatting sqref="E1:G1">
    <cfRule type="containsText" dxfId="94" priority="53" stopIfTrue="1" operator="containsText" text="ERROR!">
      <formula>NOT(ISERROR(SEARCH("ERROR!",E1)))</formula>
    </cfRule>
  </conditionalFormatting>
  <conditionalFormatting sqref="G3:G102">
    <cfRule type="containsText" dxfId="93" priority="42" operator="containsText" text="Alert:">
      <formula>NOT(ISERROR(SEARCH("Alert:",G3)))</formula>
    </cfRule>
    <cfRule type="containsText" dxfId="92" priority="45"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fRule type="containsText" dxfId="91" priority="52" stopIfTrue="1" operator="containsText" text="ERRO">
      <formula>NOT(ISERROR(SEARCH("ERRO",G3)))</formula>
    </cfRule>
    <cfRule type="containsText" dxfId="90" priority="54"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onditionalFormatting>
  <conditionalFormatting sqref="I15:I17">
    <cfRule type="containsErrors" dxfId="89" priority="38">
      <formula>ISERROR(I15)</formula>
    </cfRule>
  </conditionalFormatting>
  <conditionalFormatting sqref="I3:L12">
    <cfRule type="containsErrors" dxfId="88" priority="48">
      <formula>ISERROR(I3)</formula>
    </cfRule>
  </conditionalFormatting>
  <conditionalFormatting sqref="J3:K12 L13">
    <cfRule type="cellIs" dxfId="87" priority="46" operator="lessThan">
      <formula>0</formula>
    </cfRule>
  </conditionalFormatting>
  <conditionalFormatting sqref="K15:K17">
    <cfRule type="cellIs" dxfId="86" priority="36" operator="lessThan">
      <formula>0</formula>
    </cfRule>
    <cfRule type="containsErrors" dxfId="85" priority="37">
      <formula>ISERROR(K15)</formula>
    </cfRule>
  </conditionalFormatting>
  <conditionalFormatting sqref="L8">
    <cfRule type="containsText" dxfId="84" priority="50" operator="containsText" text="ERROR!">
      <formula>NOT(ISERROR(SEARCH("ERROR!",L8)))</formula>
    </cfRule>
    <cfRule type="containsText" dxfId="83" priority="51" operator="containsText" text="CORRECT!">
      <formula>NOT(ISERROR(SEARCH("CORRECT!",L8)))</formula>
    </cfRule>
  </conditionalFormatting>
  <conditionalFormatting sqref="L13 I13">
    <cfRule type="containsErrors" dxfId="82" priority="47">
      <formula>ISERROR(I13)</formula>
    </cfRule>
  </conditionalFormatting>
  <conditionalFormatting sqref="U3:U22">
    <cfRule type="containsText" dxfId="81" priority="3" operator="containsText" text="N/A">
      <formula>NOT(ISERROR(SEARCH("N/A",U3)))</formula>
    </cfRule>
  </conditionalFormatting>
  <conditionalFormatting sqref="U25:U27">
    <cfRule type="containsErrors" dxfId="80" priority="24">
      <formula>ISERROR(U25)</formula>
    </cfRule>
  </conditionalFormatting>
  <conditionalFormatting sqref="U33:U41">
    <cfRule type="containsErrors" dxfId="79" priority="25">
      <formula>ISERROR(U33)</formula>
    </cfRule>
  </conditionalFormatting>
  <conditionalFormatting sqref="U28:W29">
    <cfRule type="containsText" dxfId="78" priority="5" operator="containsText" text="alert">
      <formula>NOT(ISERROR(SEARCH("alert",U28)))</formula>
    </cfRule>
  </conditionalFormatting>
  <conditionalFormatting sqref="W25:W27">
    <cfRule type="containsErrors" dxfId="77" priority="23">
      <formula>ISERROR(W25)</formula>
    </cfRule>
  </conditionalFormatting>
  <conditionalFormatting sqref="Y25:Y27">
    <cfRule type="containsErrors" dxfId="76" priority="14">
      <formula>ISERROR(Y25)</formula>
    </cfRule>
  </conditionalFormatting>
  <conditionalFormatting sqref="Y28:AC29">
    <cfRule type="containsText" dxfId="75" priority="7" operator="containsText" text="Alert">
      <formula>NOT(ISERROR(SEARCH("Alert",Y28)))</formula>
    </cfRule>
  </conditionalFormatting>
  <conditionalFormatting sqref="AE25:AE27">
    <cfRule type="containsErrors" dxfId="74" priority="10">
      <formula>ISERROR(AE25)</formula>
    </cfRule>
  </conditionalFormatting>
  <conditionalFormatting sqref="AE28:AG29">
    <cfRule type="containsText" dxfId="73" priority="4" operator="containsText" text="alert">
      <formula>NOT(ISERROR(SEARCH("alert",AE28)))</formula>
    </cfRule>
  </conditionalFormatting>
  <conditionalFormatting sqref="AG25:AG27 W27 AC27">
    <cfRule type="cellIs" dxfId="72" priority="6" operator="lessThan">
      <formula>0</formula>
    </cfRule>
  </conditionalFormatting>
  <conditionalFormatting sqref="AG25:AG27">
    <cfRule type="containsErrors" dxfId="71" priority="9">
      <formula>ISERROR(AG25)</formula>
    </cfRule>
  </conditionalFormatting>
  <conditionalFormatting sqref="D4:D5">
    <cfRule type="containsBlanks" dxfId="70" priority="1">
      <formula>LEN(TRIM(D4))=0</formula>
    </cfRule>
    <cfRule type="containsBlanks" dxfId="69" priority="2" stopIfTrue="1">
      <formula>LEN(TRIM(D4))=0</formula>
    </cfRule>
  </conditionalFormatting>
  <dataValidations count="10">
    <dataValidation type="list" allowBlank="1" showInputMessage="1" showErrorMessage="1" sqref="B3:B102" xr:uid="{3B8A6F1B-18D8-4FD8-BA49-C8D50D01C8A4}">
      <formula1>"AQ,M,DPD,P,AE,RH,E"</formula1>
    </dataValidation>
    <dataValidation allowBlank="1" showInputMessage="1" showErrorMessage="1" promptTitle="RH" prompt="Human Resources" sqref="I3 U33" xr:uid="{56E6A6DF-D671-4458-8D47-7E1EE2AE80BC}"/>
    <dataValidation allowBlank="1" showInputMessage="1" showErrorMessage="1" promptTitle="M" prompt="Missions" sqref="I4 U34" xr:uid="{0B69B6BD-6486-4EF5-8DDC-C28009D4DCE4}"/>
    <dataValidation allowBlank="1" showInputMessage="1" showErrorMessage="1" promptTitle="DPD" prompt="Demonstration, Promotion and Dissemination" sqref="I5 U35" xr:uid="{E6A5C4A3-74EC-45E8-8F7F-209EA5D5E909}"/>
    <dataValidation allowBlank="1" showInputMessage="1" showErrorMessage="1" promptTitle="P" prompt="Patents registration" sqref="I7 U37" xr:uid="{B5D135F4-2A41-4677-83CB-E3A3A3D5C413}"/>
    <dataValidation allowBlank="1" showInputMessage="1" showErrorMessage="1" promptTitle="AQ" prompt="Purchase of goods and services" sqref="I6 U36" xr:uid="{5C91BC91-D3E9-44DB-9B65-EE5392FBCFEA}"/>
    <dataValidation allowBlank="1" showInputMessage="1" showErrorMessage="1" promptTitle="AE" prompt="Adaptation of buildings and facilities" sqref="I8 U38" xr:uid="{77EC4506-C7CC-46D8-9FDD-F12489D71192}"/>
    <dataValidation allowBlank="1" showInputMessage="1" showErrorMessage="1" promptTitle="SC" prompt="SUBCONTRACTING - NOT APPLICABLE IN THIS CALL" sqref="I10 U40" xr:uid="{8E5955CB-871E-4618-A9B3-DBB1EC6E5509}"/>
    <dataValidation allowBlank="1" showInputMessage="1" showErrorMessage="1" promptTitle="E" prompt="Scientific and technical instruments and equipment" sqref="I9 U39" xr:uid="{6527E9B6-DF7B-4BC8-9DC8-63C62C47276E}"/>
    <dataValidation allowBlank="1" showInputMessage="1" showErrorMessage="1" promptTitle="EG" prompt="Overheads" sqref="I11 U41" xr:uid="{482855A0-86F5-4F13-BCFF-7CA4B22E9E40}"/>
  </dataValidations>
  <pageMargins left="0.23622047244094491" right="0.23622047244094491" top="0.94488188976377963" bottom="0.74803149606299213" header="0.31496062992125984" footer="0.31496062992125984"/>
  <pageSetup paperSize="9" scale="99" fitToHeight="0" orientation="landscape" r:id="rId1"/>
  <headerFooter>
    <oddHeader>&amp;L&amp;G</oddHeader>
    <oddFooter>&amp;C&amp;F</oddFooter>
  </headerFooter>
  <legacyDrawingHF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067195A-BC3D-45B5-BA00-0AF4EC5E16BE}">
          <x14:formula1>
            <xm:f>'3.Tasks'!$BK$4:$BK$23</xm:f>
          </x14:formula1>
          <xm:sqref>F3:F102</xm:sqref>
        </x14:dataValidation>
        <x14:dataValidation type="list" allowBlank="1" showInputMessage="1" showErrorMessage="1" xr:uid="{BFEE0FD9-B1C4-489A-8413-4248C9B4614D}">
          <x14:formula1>
            <xm:f>'2.Inst.'!$D$70:$D$80</xm:f>
          </x14:formula1>
          <xm:sqref>E3:E102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40E4-8A20-4C72-9483-89C73182C7C7}">
  <sheetPr>
    <tabColor theme="5" tint="-0.249977111117893"/>
  </sheetPr>
  <dimension ref="A1:BL714"/>
  <sheetViews>
    <sheetView topLeftCell="R1" zoomScale="70" zoomScaleNormal="70" workbookViewId="0">
      <selection activeCell="T3" sqref="T3"/>
    </sheetView>
  </sheetViews>
  <sheetFormatPr defaultColWidth="9.109375" defaultRowHeight="15.05"/>
  <cols>
    <col min="1" max="1" width="10.5546875" style="529" hidden="1" customWidth="1"/>
    <col min="2" max="2" width="6.6640625" style="529" hidden="1" customWidth="1"/>
    <col min="3" max="3" width="5.33203125" style="529" hidden="1" customWidth="1"/>
    <col min="4" max="4" width="8.33203125" style="529" hidden="1" customWidth="1"/>
    <col min="5" max="5" width="5.44140625" style="531" hidden="1" customWidth="1"/>
    <col min="6" max="6" width="11.88671875" style="529" hidden="1" customWidth="1"/>
    <col min="7" max="7" width="7.6640625" style="529" hidden="1" customWidth="1"/>
    <col min="8" max="8" width="5.6640625" style="529" hidden="1" customWidth="1"/>
    <col min="9" max="9" width="9.109375" style="529" hidden="1" customWidth="1"/>
    <col min="10" max="10" width="4.88671875" style="529" hidden="1" customWidth="1"/>
    <col min="11" max="11" width="8.6640625" style="529" hidden="1" customWidth="1"/>
    <col min="12" max="12" width="4.6640625" style="529" hidden="1" customWidth="1"/>
    <col min="13" max="13" width="9.109375" style="529" hidden="1" customWidth="1"/>
    <col min="14" max="14" width="4.5546875" style="529" hidden="1" customWidth="1"/>
    <col min="15" max="16" width="9.109375" style="529" hidden="1" customWidth="1"/>
    <col min="17" max="17" width="9.109375" style="169" hidden="1" customWidth="1"/>
    <col min="18" max="18" width="0.88671875" style="169" customWidth="1"/>
    <col min="19" max="19" width="44.44140625" style="169" customWidth="1"/>
    <col min="20" max="20" width="14.5546875" style="169" customWidth="1"/>
    <col min="21" max="28" width="14.33203125" style="169" customWidth="1"/>
    <col min="29" max="29" width="14.33203125" style="304" customWidth="1"/>
    <col min="30" max="33" width="14.33203125" style="169" customWidth="1"/>
    <col min="34" max="35" width="14.33203125" style="169" hidden="1" customWidth="1"/>
    <col min="36" max="37" width="14.33203125" style="169" customWidth="1"/>
    <col min="38" max="16384" width="9.109375" style="169"/>
  </cols>
  <sheetData>
    <row r="1" spans="1:64" s="197" customFormat="1" ht="28.15" customHeight="1">
      <c r="A1" s="540" t="s">
        <v>982</v>
      </c>
      <c r="B1" s="540" t="s">
        <v>980</v>
      </c>
      <c r="C1" s="540" t="s">
        <v>879</v>
      </c>
      <c r="D1" s="540" t="s">
        <v>75</v>
      </c>
      <c r="E1" s="541" t="s">
        <v>981</v>
      </c>
      <c r="F1" s="540" t="s">
        <v>985</v>
      </c>
      <c r="G1" s="540" t="s">
        <v>986</v>
      </c>
      <c r="H1" s="540" t="s">
        <v>983</v>
      </c>
      <c r="I1" s="542">
        <f ca="1">+U6</f>
        <v>2026</v>
      </c>
      <c r="J1" s="540" t="s">
        <v>983</v>
      </c>
      <c r="K1" s="542">
        <f ca="1">+I1+1</f>
        <v>2027</v>
      </c>
      <c r="L1" s="540" t="s">
        <v>983</v>
      </c>
      <c r="M1" s="542">
        <f ca="1">+K1+1</f>
        <v>2028</v>
      </c>
      <c r="N1" s="527" t="s">
        <v>983</v>
      </c>
      <c r="O1" s="528">
        <f t="shared" ref="O1" ca="1" si="0">+M1+1</f>
        <v>2029</v>
      </c>
      <c r="P1" s="527" t="s">
        <v>987</v>
      </c>
      <c r="R1" s="169"/>
      <c r="S1" s="826" t="s">
        <v>996</v>
      </c>
      <c r="T1" s="826"/>
      <c r="U1" s="826"/>
      <c r="V1" s="826"/>
      <c r="W1" s="826"/>
      <c r="X1" s="826"/>
      <c r="Y1" s="826"/>
      <c r="Z1" s="826"/>
      <c r="AA1" s="169"/>
      <c r="AC1" s="297"/>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row>
    <row r="2" spans="1:64" s="533" customFormat="1" ht="26.35" customHeight="1">
      <c r="A2" s="563" t="s">
        <v>694</v>
      </c>
      <c r="B2" s="563" t="s">
        <v>818</v>
      </c>
      <c r="C2" s="563" t="s">
        <v>18</v>
      </c>
      <c r="D2" s="563" t="s">
        <v>0</v>
      </c>
      <c r="E2" s="531" t="s">
        <v>39</v>
      </c>
      <c r="F2" s="562">
        <f>IFERROR(HLOOKUP(C2,'4.Team'!$CI$33:$DB$47,VLOOKUP(A2,$A$705:$B$714,2,FALSE),FALSE),0)</f>
        <v>0</v>
      </c>
      <c r="G2" s="562">
        <f>IFERROR((H2+J2+L2+N2),0)</f>
        <v>0</v>
      </c>
      <c r="H2" s="531">
        <f>IFERROR(VLOOKUP($B2,'3.Tasks'!$BK$4:$BO$23,2,FALSE),0)</f>
        <v>0</v>
      </c>
      <c r="I2" s="563">
        <f>IFERROR(($F2/$G2*H2),0)</f>
        <v>0</v>
      </c>
      <c r="J2" s="563">
        <f>IFERROR(VLOOKUP($B2,'3.Tasks'!$BK$4:$BO$23,3,FALSE),0)</f>
        <v>0</v>
      </c>
      <c r="K2" s="563">
        <f>IFERROR(($F2/$G2*J2),0)</f>
        <v>0</v>
      </c>
      <c r="L2" s="563">
        <f>IFERROR(VLOOKUP($B2,'3.Tasks'!$BK$4:$BO$23,4,FALSE),0)</f>
        <v>0</v>
      </c>
      <c r="M2" s="563">
        <f>IFERROR(($F2/$G2*L2),0)</f>
        <v>0</v>
      </c>
      <c r="N2" s="563">
        <f>IFERROR(VLOOKUP($B2,'3.Tasks'!$BK$4:$BO$23,5,FALSE),0)</f>
        <v>0</v>
      </c>
      <c r="O2" s="563">
        <f>IFERROR(($F2/$G2*N2),0)</f>
        <v>0</v>
      </c>
      <c r="P2" s="564">
        <f>+F2-I2-K2-M2-O2</f>
        <v>0</v>
      </c>
      <c r="S2" s="565" t="s">
        <v>988</v>
      </c>
      <c r="T2" s="570" t="s">
        <v>0</v>
      </c>
      <c r="U2" s="567"/>
      <c r="V2" s="567"/>
      <c r="W2" s="567"/>
      <c r="X2" s="567"/>
      <c r="Y2" s="567"/>
      <c r="Z2" s="567"/>
      <c r="AA2" s="567"/>
      <c r="AB2" s="567"/>
      <c r="AC2" s="568"/>
      <c r="AD2" s="567"/>
      <c r="AE2" s="567"/>
      <c r="AF2" s="567"/>
      <c r="AG2" s="567"/>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c r="BH2" s="569"/>
      <c r="BI2" s="569"/>
      <c r="BJ2" s="569"/>
      <c r="BK2" s="569"/>
      <c r="BL2" s="569"/>
    </row>
    <row r="3" spans="1:64" s="533" customFormat="1" ht="26.35" customHeight="1">
      <c r="A3" s="563" t="s">
        <v>695</v>
      </c>
      <c r="B3" s="563" t="s">
        <v>818</v>
      </c>
      <c r="C3" s="563" t="s">
        <v>18</v>
      </c>
      <c r="D3" s="563" t="s">
        <v>0</v>
      </c>
      <c r="E3" s="531" t="s">
        <v>39</v>
      </c>
      <c r="F3" s="562">
        <f>IFERROR(HLOOKUP(C3,'4.Team'!$CI$33:$DB$47,VLOOKUP(A3,$A$705:$B$714,2,FALSE),FALSE),0)</f>
        <v>0</v>
      </c>
      <c r="G3" s="562">
        <f t="shared" ref="G3:G66" si="1">IFERROR((H3+J3+L3+N3),0)</f>
        <v>0</v>
      </c>
      <c r="H3" s="531">
        <f>IFERROR(VLOOKUP($B3,'3.Tasks'!$BK$4:$BO$23,2,FALSE),0)</f>
        <v>0</v>
      </c>
      <c r="I3" s="563">
        <f t="shared" ref="I3:I66" si="2">IFERROR(($F3/$G3*H3),0)</f>
        <v>0</v>
      </c>
      <c r="J3" s="563">
        <f>IFERROR(VLOOKUP($B3,'3.Tasks'!$BK$4:$BO$23,3,FALSE),0)</f>
        <v>0</v>
      </c>
      <c r="K3" s="563">
        <f t="shared" ref="K3:K66" si="3">IFERROR(($F3/$G3*J3),0)</f>
        <v>0</v>
      </c>
      <c r="L3" s="563">
        <f>IFERROR(VLOOKUP($B3,'3.Tasks'!$BK$4:$BO$23,4,FALSE),0)</f>
        <v>0</v>
      </c>
      <c r="M3" s="563">
        <f t="shared" ref="M3:M66" si="4">IFERROR(($F3/$G3*L3),0)</f>
        <v>0</v>
      </c>
      <c r="N3" s="563">
        <f>IFERROR(VLOOKUP($B3,'3.Tasks'!$BK$4:$BO$23,5,FALSE),0)</f>
        <v>0</v>
      </c>
      <c r="O3" s="563">
        <f t="shared" ref="O3:O66" si="5">IFERROR(($F3/$G3*N3),0)</f>
        <v>0</v>
      </c>
      <c r="P3" s="564">
        <f t="shared" ref="P3:P66" si="6">+F3-I3-K3-M3-O3</f>
        <v>0</v>
      </c>
      <c r="S3" s="565" t="s">
        <v>989</v>
      </c>
      <c r="T3" s="570" t="s">
        <v>818</v>
      </c>
      <c r="U3" s="567"/>
      <c r="V3" s="567"/>
      <c r="W3" s="567"/>
      <c r="X3" s="567"/>
      <c r="Y3" s="567"/>
      <c r="Z3" s="567"/>
      <c r="AA3" s="567"/>
      <c r="AB3" s="567"/>
      <c r="AC3" s="568"/>
      <c r="AD3" s="567"/>
      <c r="AE3" s="567"/>
      <c r="AF3" s="567"/>
      <c r="AG3" s="567"/>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H3" s="569"/>
      <c r="BI3" s="569"/>
      <c r="BJ3" s="569"/>
      <c r="BK3" s="569"/>
      <c r="BL3" s="569"/>
    </row>
    <row r="4" spans="1:64">
      <c r="A4" s="527" t="s">
        <v>696</v>
      </c>
      <c r="B4" s="527" t="s">
        <v>818</v>
      </c>
      <c r="C4" s="527" t="s">
        <v>18</v>
      </c>
      <c r="D4" s="527" t="s">
        <v>0</v>
      </c>
      <c r="E4" s="525" t="s">
        <v>39</v>
      </c>
      <c r="F4" s="526">
        <f>IFERROR(HLOOKUP(C4,'4.Team'!$CI$33:$DB$47,VLOOKUP(A4,$A$705:$B$714,2,FALSE),FALSE),0)</f>
        <v>0</v>
      </c>
      <c r="G4" s="526">
        <f t="shared" si="1"/>
        <v>0</v>
      </c>
      <c r="H4" s="525">
        <f>IFERROR(VLOOKUP($B4,'3.Tasks'!$BK$4:$BO$23,2,FALSE),0)</f>
        <v>0</v>
      </c>
      <c r="I4" s="529">
        <f t="shared" si="2"/>
        <v>0</v>
      </c>
      <c r="J4" s="529">
        <f>IFERROR(VLOOKUP($B4,'3.Tasks'!$BK$4:$BO$23,3,FALSE),0)</f>
        <v>0</v>
      </c>
      <c r="K4" s="529">
        <f t="shared" si="3"/>
        <v>0</v>
      </c>
      <c r="L4" s="529">
        <f>IFERROR(VLOOKUP($B4,'3.Tasks'!$BK$4:$BO$23,4,FALSE),0)</f>
        <v>0</v>
      </c>
      <c r="M4" s="529">
        <f t="shared" si="4"/>
        <v>0</v>
      </c>
      <c r="N4" s="529">
        <f>IFERROR(VLOOKUP($B4,'3.Tasks'!$BK$4:$BO$23,5,FALSE),0)</f>
        <v>0</v>
      </c>
      <c r="O4" s="529">
        <f t="shared" si="5"/>
        <v>0</v>
      </c>
      <c r="P4" s="530">
        <f t="shared" si="6"/>
        <v>0</v>
      </c>
      <c r="R4" s="197"/>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64" ht="26.05" customHeight="1">
      <c r="A5" s="527" t="s">
        <v>697</v>
      </c>
      <c r="B5" s="527" t="s">
        <v>818</v>
      </c>
      <c r="C5" s="527" t="s">
        <v>18</v>
      </c>
      <c r="D5" s="527" t="s">
        <v>0</v>
      </c>
      <c r="E5" s="525" t="s">
        <v>39</v>
      </c>
      <c r="F5" s="526">
        <f>IFERROR(HLOOKUP(C5,'4.Team'!$CI$33:$DB$47,VLOOKUP(A5,$A$705:$B$714,2,FALSE),FALSE),0)</f>
        <v>0</v>
      </c>
      <c r="G5" s="526">
        <f t="shared" si="1"/>
        <v>0</v>
      </c>
      <c r="H5" s="525">
        <f>IFERROR(VLOOKUP($B5,'3.Tasks'!$BK$4:$BO$23,2,FALSE),0)</f>
        <v>0</v>
      </c>
      <c r="I5" s="529">
        <f t="shared" si="2"/>
        <v>0</v>
      </c>
      <c r="J5" s="529">
        <f>IFERROR(VLOOKUP($B5,'3.Tasks'!$BK$4:$BO$23,3,FALSE),0)</f>
        <v>0</v>
      </c>
      <c r="K5" s="529">
        <f t="shared" si="3"/>
        <v>0</v>
      </c>
      <c r="L5" s="529">
        <f>IFERROR(VLOOKUP($B5,'3.Tasks'!$BK$4:$BO$23,4,FALSE),0)</f>
        <v>0</v>
      </c>
      <c r="M5" s="529">
        <f t="shared" si="4"/>
        <v>0</v>
      </c>
      <c r="N5" s="529">
        <f>IFERROR(VLOOKUP($B5,'3.Tasks'!$BK$4:$BO$23,5,FALSE),0)</f>
        <v>0</v>
      </c>
      <c r="O5" s="529">
        <f t="shared" si="5"/>
        <v>0</v>
      </c>
      <c r="P5" s="530">
        <f t="shared" si="6"/>
        <v>0</v>
      </c>
      <c r="S5" s="827" t="s">
        <v>990</v>
      </c>
      <c r="T5" s="828"/>
      <c r="U5" s="828"/>
      <c r="V5" s="828"/>
      <c r="W5" s="828"/>
      <c r="X5" s="828"/>
      <c r="Y5" s="828"/>
      <c r="Z5" s="828"/>
      <c r="AA5" s="828"/>
      <c r="AB5" s="828"/>
      <c r="AC5" s="828"/>
      <c r="AD5" s="828"/>
      <c r="AE5" s="828"/>
      <c r="AF5" s="828"/>
      <c r="AG5" s="829"/>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row>
    <row r="6" spans="1:64" ht="18.350000000000001">
      <c r="A6" s="527" t="s">
        <v>698</v>
      </c>
      <c r="B6" s="527" t="s">
        <v>818</v>
      </c>
      <c r="C6" s="527" t="s">
        <v>18</v>
      </c>
      <c r="D6" s="527" t="s">
        <v>0</v>
      </c>
      <c r="E6" s="525" t="s">
        <v>39</v>
      </c>
      <c r="F6" s="526">
        <f>IFERROR(HLOOKUP(C6,'4.Team'!$CI$33:$DB$47,VLOOKUP(A6,$A$705:$B$714,2,FALSE),FALSE),0)</f>
        <v>0</v>
      </c>
      <c r="G6" s="526">
        <f t="shared" si="1"/>
        <v>0</v>
      </c>
      <c r="H6" s="525">
        <f>IFERROR(VLOOKUP($B6,'3.Tasks'!$BK$4:$BO$23,2,FALSE),0)</f>
        <v>0</v>
      </c>
      <c r="I6" s="529">
        <f t="shared" si="2"/>
        <v>0</v>
      </c>
      <c r="J6" s="529">
        <f>IFERROR(VLOOKUP($B6,'3.Tasks'!$BK$4:$BO$23,3,FALSE),0)</f>
        <v>0</v>
      </c>
      <c r="K6" s="529">
        <f t="shared" si="3"/>
        <v>0</v>
      </c>
      <c r="L6" s="529">
        <f>IFERROR(VLOOKUP($B6,'3.Tasks'!$BK$4:$BO$23,4,FALSE),0)</f>
        <v>0</v>
      </c>
      <c r="M6" s="529">
        <f t="shared" si="4"/>
        <v>0</v>
      </c>
      <c r="N6" s="529">
        <f>IFERROR(VLOOKUP($B6,'3.Tasks'!$BK$4:$BO$23,5,FALSE),0)</f>
        <v>0</v>
      </c>
      <c r="O6" s="529">
        <f t="shared" si="5"/>
        <v>0</v>
      </c>
      <c r="P6" s="530">
        <f t="shared" si="6"/>
        <v>0</v>
      </c>
      <c r="S6" s="535" t="s">
        <v>651</v>
      </c>
      <c r="T6" s="535"/>
      <c r="U6" s="536">
        <f ca="1">+'4.Team'!J1</f>
        <v>2026</v>
      </c>
      <c r="V6" s="536">
        <f ca="1">+U6+1</f>
        <v>2027</v>
      </c>
      <c r="W6" s="536">
        <f ca="1">+V6+1</f>
        <v>2028</v>
      </c>
      <c r="X6" s="536">
        <f ca="1">+W6+1</f>
        <v>2029</v>
      </c>
      <c r="Y6" s="537" t="s">
        <v>45</v>
      </c>
      <c r="Z6" s="830" t="s">
        <v>333</v>
      </c>
      <c r="AA6" s="831"/>
      <c r="AB6" s="831"/>
      <c r="AC6" s="831"/>
      <c r="AD6" s="831"/>
      <c r="AE6" s="831"/>
      <c r="AF6" s="831"/>
      <c r="AG6" s="832"/>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row>
    <row r="7" spans="1:64">
      <c r="A7" s="527" t="s">
        <v>699</v>
      </c>
      <c r="B7" s="527" t="s">
        <v>818</v>
      </c>
      <c r="C7" s="527" t="s">
        <v>18</v>
      </c>
      <c r="D7" s="527" t="s">
        <v>0</v>
      </c>
      <c r="E7" s="525" t="s">
        <v>39</v>
      </c>
      <c r="F7" s="526">
        <f>IFERROR(HLOOKUP(C7,'4.Team'!$CI$33:$DB$47,VLOOKUP(A7,$A$705:$B$714,2,FALSE),FALSE),0)</f>
        <v>0</v>
      </c>
      <c r="G7" s="526">
        <f t="shared" si="1"/>
        <v>0</v>
      </c>
      <c r="H7" s="525">
        <f>IFERROR(VLOOKUP($B7,'3.Tasks'!$BK$4:$BO$23,2,FALSE),0)</f>
        <v>0</v>
      </c>
      <c r="I7" s="529">
        <f t="shared" si="2"/>
        <v>0</v>
      </c>
      <c r="J7" s="529">
        <f>IFERROR(VLOOKUP($B7,'3.Tasks'!$BK$4:$BO$23,3,FALSE),0)</f>
        <v>0</v>
      </c>
      <c r="K7" s="529">
        <f t="shared" si="3"/>
        <v>0</v>
      </c>
      <c r="L7" s="529">
        <f>IFERROR(VLOOKUP($B7,'3.Tasks'!$BK$4:$BO$23,4,FALSE),0)</f>
        <v>0</v>
      </c>
      <c r="M7" s="529">
        <f t="shared" si="4"/>
        <v>0</v>
      </c>
      <c r="N7" s="529">
        <f>IFERROR(VLOOKUP($B7,'3.Tasks'!$BK$4:$BO$23,5,FALSE),0)</f>
        <v>0</v>
      </c>
      <c r="O7" s="529">
        <f t="shared" si="5"/>
        <v>0</v>
      </c>
      <c r="P7" s="530">
        <f t="shared" si="6"/>
        <v>0</v>
      </c>
      <c r="S7" s="538" t="s">
        <v>650</v>
      </c>
      <c r="T7" s="543" t="s">
        <v>39</v>
      </c>
      <c r="U7" s="539">
        <f>ROUND(SUMIFS(I:I,$E:$E,$T7,$D:$D,$T$2,$B:$B,$T$3),2)</f>
        <v>0</v>
      </c>
      <c r="V7" s="539">
        <f>ROUND(SUMIFS(K:K,$E:$E,$T7,$D:$D,$T$2,$B:$B,$T$3),2)</f>
        <v>0</v>
      </c>
      <c r="W7" s="539">
        <f>ROUND(SUMIFS(M:M,$E:$E,$T7,$D:$D,$T$2,$B:$B,$T$3),2)</f>
        <v>0</v>
      </c>
      <c r="X7" s="539">
        <f>ROUND(SUMIFS(O:O,$E:$E,$T7,$D:$D,$T$2,$B:$B,$T$3),2)</f>
        <v>0</v>
      </c>
      <c r="Y7" s="539">
        <f>SUM(U7:X7)</f>
        <v>0</v>
      </c>
      <c r="Z7" s="812"/>
      <c r="AA7" s="813"/>
      <c r="AB7" s="813"/>
      <c r="AC7" s="813"/>
      <c r="AD7" s="813"/>
      <c r="AE7" s="813"/>
      <c r="AF7" s="813"/>
      <c r="AG7" s="814"/>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row>
    <row r="8" spans="1:64">
      <c r="A8" s="527" t="s">
        <v>700</v>
      </c>
      <c r="B8" s="527" t="s">
        <v>818</v>
      </c>
      <c r="C8" s="527" t="s">
        <v>18</v>
      </c>
      <c r="D8" s="527" t="s">
        <v>0</v>
      </c>
      <c r="E8" s="525" t="s">
        <v>39</v>
      </c>
      <c r="F8" s="526">
        <f>IFERROR(HLOOKUP(C8,'4.Team'!$CI$33:$DB$47,VLOOKUP(A8,$A$705:$B$714,2,FALSE),FALSE),0)</f>
        <v>0</v>
      </c>
      <c r="G8" s="526">
        <f t="shared" si="1"/>
        <v>0</v>
      </c>
      <c r="H8" s="525">
        <f>IFERROR(VLOOKUP($B8,'3.Tasks'!$BK$4:$BO$23,2,FALSE),0)</f>
        <v>0</v>
      </c>
      <c r="I8" s="529">
        <f t="shared" si="2"/>
        <v>0</v>
      </c>
      <c r="J8" s="529">
        <f>IFERROR(VLOOKUP($B8,'3.Tasks'!$BK$4:$BO$23,3,FALSE),0)</f>
        <v>0</v>
      </c>
      <c r="K8" s="529">
        <f t="shared" si="3"/>
        <v>0</v>
      </c>
      <c r="L8" s="529">
        <f>IFERROR(VLOOKUP($B8,'3.Tasks'!$BK$4:$BO$23,4,FALSE),0)</f>
        <v>0</v>
      </c>
      <c r="M8" s="529">
        <f t="shared" si="4"/>
        <v>0</v>
      </c>
      <c r="N8" s="529">
        <f>IFERROR(VLOOKUP($B8,'3.Tasks'!$BK$4:$BO$23,5,FALSE),0)</f>
        <v>0</v>
      </c>
      <c r="O8" s="529">
        <f t="shared" si="5"/>
        <v>0</v>
      </c>
      <c r="P8" s="530">
        <f t="shared" si="6"/>
        <v>0</v>
      </c>
      <c r="S8" s="538" t="s">
        <v>649</v>
      </c>
      <c r="T8" s="543" t="s">
        <v>4</v>
      </c>
      <c r="U8" s="539">
        <f t="shared" ref="U8:U13" si="7">ROUND(SUMIFS(I:I,$E:$E,$T8,$D:$D,$T$2,$B:$B,$T$3),2)</f>
        <v>0</v>
      </c>
      <c r="V8" s="539">
        <f t="shared" ref="V8:V13" si="8">ROUND(SUMIFS(K:K,$E:$E,$T8,$D:$D,$T$2,$B:$B,$T$3),2)</f>
        <v>0</v>
      </c>
      <c r="W8" s="539">
        <f t="shared" ref="W8:W13" si="9">ROUND(SUMIFS(M:M,$E:$E,$T8,$D:$D,$T$2,$B:$B,$T$3),2)</f>
        <v>0</v>
      </c>
      <c r="X8" s="539">
        <f t="shared" ref="X8:X13" si="10">ROUND(SUMIFS(O:O,$E:$E,$T8,$D:$D,$T$2,$B:$B,$T$3),2)</f>
        <v>0</v>
      </c>
      <c r="Y8" s="539">
        <f t="shared" ref="Y8:Y15" si="11">SUM(U8:X8)</f>
        <v>0</v>
      </c>
      <c r="Z8" s="812"/>
      <c r="AA8" s="813"/>
      <c r="AB8" s="813"/>
      <c r="AC8" s="813"/>
      <c r="AD8" s="813"/>
      <c r="AE8" s="813"/>
      <c r="AF8" s="813"/>
      <c r="AG8" s="814"/>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row>
    <row r="9" spans="1:64">
      <c r="A9" s="527" t="s">
        <v>701</v>
      </c>
      <c r="B9" s="527" t="s">
        <v>818</v>
      </c>
      <c r="C9" s="527" t="s">
        <v>18</v>
      </c>
      <c r="D9" s="527" t="s">
        <v>0</v>
      </c>
      <c r="E9" s="525" t="s">
        <v>39</v>
      </c>
      <c r="F9" s="526">
        <f>IFERROR(HLOOKUP(C9,'4.Team'!$CI$33:$DB$47,VLOOKUP(A9,$A$705:$B$714,2,FALSE),FALSE),0)</f>
        <v>0</v>
      </c>
      <c r="G9" s="526">
        <f t="shared" si="1"/>
        <v>0</v>
      </c>
      <c r="H9" s="525">
        <f>IFERROR(VLOOKUP($B9,'3.Tasks'!$BK$4:$BO$23,2,FALSE),0)</f>
        <v>0</v>
      </c>
      <c r="I9" s="529">
        <f t="shared" si="2"/>
        <v>0</v>
      </c>
      <c r="J9" s="529">
        <f>IFERROR(VLOOKUP($B9,'3.Tasks'!$BK$4:$BO$23,3,FALSE),0)</f>
        <v>0</v>
      </c>
      <c r="K9" s="529">
        <f t="shared" si="3"/>
        <v>0</v>
      </c>
      <c r="L9" s="529">
        <f>IFERROR(VLOOKUP($B9,'3.Tasks'!$BK$4:$BO$23,4,FALSE),0)</f>
        <v>0</v>
      </c>
      <c r="M9" s="529">
        <f t="shared" si="4"/>
        <v>0</v>
      </c>
      <c r="N9" s="529">
        <f>IFERROR(VLOOKUP($B9,'3.Tasks'!$BK$4:$BO$23,5,FALSE),0)</f>
        <v>0</v>
      </c>
      <c r="O9" s="529">
        <f t="shared" si="5"/>
        <v>0</v>
      </c>
      <c r="P9" s="530">
        <f t="shared" si="6"/>
        <v>0</v>
      </c>
      <c r="S9" s="538" t="s">
        <v>646</v>
      </c>
      <c r="T9" s="543" t="s">
        <v>40</v>
      </c>
      <c r="U9" s="539">
        <f t="shared" si="7"/>
        <v>0</v>
      </c>
      <c r="V9" s="539">
        <f t="shared" si="8"/>
        <v>0</v>
      </c>
      <c r="W9" s="539">
        <f t="shared" si="9"/>
        <v>0</v>
      </c>
      <c r="X9" s="539">
        <f t="shared" si="10"/>
        <v>0</v>
      </c>
      <c r="Y9" s="539">
        <f t="shared" si="11"/>
        <v>0</v>
      </c>
      <c r="Z9" s="812"/>
      <c r="AA9" s="813"/>
      <c r="AB9" s="813"/>
      <c r="AC9" s="813"/>
      <c r="AD9" s="813"/>
      <c r="AE9" s="813"/>
      <c r="AF9" s="813"/>
      <c r="AG9" s="814"/>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row>
    <row r="10" spans="1:64">
      <c r="A10" s="527" t="s">
        <v>702</v>
      </c>
      <c r="B10" s="527" t="s">
        <v>818</v>
      </c>
      <c r="C10" s="527" t="s">
        <v>18</v>
      </c>
      <c r="D10" s="527" t="s">
        <v>0</v>
      </c>
      <c r="E10" s="525" t="s">
        <v>39</v>
      </c>
      <c r="F10" s="526">
        <f>IFERROR(HLOOKUP(C10,'4.Team'!$CI$33:$DB$47,VLOOKUP(A10,$A$705:$B$714,2,FALSE),FALSE),0)</f>
        <v>0</v>
      </c>
      <c r="G10" s="526">
        <f t="shared" si="1"/>
        <v>0</v>
      </c>
      <c r="H10" s="525">
        <f>IFERROR(VLOOKUP($B10,'3.Tasks'!$BK$4:$BO$23,2,FALSE),0)</f>
        <v>0</v>
      </c>
      <c r="I10" s="529">
        <f t="shared" si="2"/>
        <v>0</v>
      </c>
      <c r="J10" s="529">
        <f>IFERROR(VLOOKUP($B10,'3.Tasks'!$BK$4:$BO$23,3,FALSE),0)</f>
        <v>0</v>
      </c>
      <c r="K10" s="529">
        <f t="shared" si="3"/>
        <v>0</v>
      </c>
      <c r="L10" s="529">
        <f>IFERROR(VLOOKUP($B10,'3.Tasks'!$BK$4:$BO$23,4,FALSE),0)</f>
        <v>0</v>
      </c>
      <c r="M10" s="529">
        <f t="shared" si="4"/>
        <v>0</v>
      </c>
      <c r="N10" s="529">
        <f>IFERROR(VLOOKUP($B10,'3.Tasks'!$BK$4:$BO$23,5,FALSE),0)</f>
        <v>0</v>
      </c>
      <c r="O10" s="529">
        <f t="shared" si="5"/>
        <v>0</v>
      </c>
      <c r="P10" s="530">
        <f t="shared" si="6"/>
        <v>0</v>
      </c>
      <c r="S10" s="538" t="s">
        <v>648</v>
      </c>
      <c r="T10" s="543" t="s">
        <v>41</v>
      </c>
      <c r="U10" s="539">
        <f t="shared" si="7"/>
        <v>0</v>
      </c>
      <c r="V10" s="539">
        <f t="shared" si="8"/>
        <v>0</v>
      </c>
      <c r="W10" s="539">
        <f t="shared" si="9"/>
        <v>0</v>
      </c>
      <c r="X10" s="539">
        <f t="shared" si="10"/>
        <v>0</v>
      </c>
      <c r="Y10" s="539">
        <f t="shared" si="11"/>
        <v>0</v>
      </c>
      <c r="Z10" s="815" t="s">
        <v>740</v>
      </c>
      <c r="AA10" s="816"/>
      <c r="AB10" s="816"/>
      <c r="AC10" s="816"/>
      <c r="AD10" s="816"/>
      <c r="AE10" s="816"/>
      <c r="AF10" s="816"/>
      <c r="AG10" s="817"/>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64">
      <c r="A11" s="527" t="s">
        <v>703</v>
      </c>
      <c r="B11" s="527" t="s">
        <v>818</v>
      </c>
      <c r="C11" s="527" t="s">
        <v>18</v>
      </c>
      <c r="D11" s="527" t="s">
        <v>0</v>
      </c>
      <c r="E11" s="525" t="s">
        <v>39</v>
      </c>
      <c r="F11" s="526">
        <f>IFERROR(HLOOKUP(C11,'4.Team'!$CI$33:$DB$47,VLOOKUP(A11,$A$705:$B$714,2,FALSE),FALSE),0)</f>
        <v>0</v>
      </c>
      <c r="G11" s="526">
        <f t="shared" si="1"/>
        <v>0</v>
      </c>
      <c r="H11" s="525">
        <f>IFERROR(VLOOKUP($B11,'3.Tasks'!$BK$4:$BO$23,2,FALSE),0)</f>
        <v>0</v>
      </c>
      <c r="I11" s="529">
        <f t="shared" si="2"/>
        <v>0</v>
      </c>
      <c r="J11" s="529">
        <f>IFERROR(VLOOKUP($B11,'3.Tasks'!$BK$4:$BO$23,3,FALSE),0)</f>
        <v>0</v>
      </c>
      <c r="K11" s="529">
        <f t="shared" si="3"/>
        <v>0</v>
      </c>
      <c r="L11" s="529">
        <f>IFERROR(VLOOKUP($B11,'3.Tasks'!$BK$4:$BO$23,4,FALSE),0)</f>
        <v>0</v>
      </c>
      <c r="M11" s="529">
        <f t="shared" si="4"/>
        <v>0</v>
      </c>
      <c r="N11" s="529">
        <f>IFERROR(VLOOKUP($B11,'3.Tasks'!$BK$4:$BO$23,5,FALSE),0)</f>
        <v>0</v>
      </c>
      <c r="O11" s="529">
        <f t="shared" si="5"/>
        <v>0</v>
      </c>
      <c r="P11" s="530">
        <f t="shared" si="6"/>
        <v>0</v>
      </c>
      <c r="S11" s="538" t="s">
        <v>644</v>
      </c>
      <c r="T11" s="543" t="s">
        <v>471</v>
      </c>
      <c r="U11" s="539">
        <f t="shared" si="7"/>
        <v>0</v>
      </c>
      <c r="V11" s="539">
        <f t="shared" si="8"/>
        <v>0</v>
      </c>
      <c r="W11" s="539">
        <f t="shared" si="9"/>
        <v>0</v>
      </c>
      <c r="X11" s="539">
        <f t="shared" si="10"/>
        <v>0</v>
      </c>
      <c r="Y11" s="539">
        <f t="shared" si="11"/>
        <v>0</v>
      </c>
      <c r="Z11" s="812"/>
      <c r="AA11" s="813"/>
      <c r="AB11" s="813"/>
      <c r="AC11" s="813"/>
      <c r="AD11" s="813"/>
      <c r="AE11" s="813"/>
      <c r="AF11" s="813"/>
      <c r="AG11" s="814"/>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64">
      <c r="A12" s="527" t="s">
        <v>694</v>
      </c>
      <c r="B12" s="527" t="s">
        <v>819</v>
      </c>
      <c r="C12" s="527" t="s">
        <v>19</v>
      </c>
      <c r="D12" s="527" t="s">
        <v>0</v>
      </c>
      <c r="E12" s="525" t="s">
        <v>39</v>
      </c>
      <c r="F12" s="526">
        <f>IFERROR(HLOOKUP(C12,'4.Team'!$CI$33:$DB$47,VLOOKUP(A12,$A$705:$B$714,2,FALSE),FALSE),0)</f>
        <v>0</v>
      </c>
      <c r="G12" s="526">
        <f t="shared" si="1"/>
        <v>0</v>
      </c>
      <c r="H12" s="525">
        <f>IFERROR(VLOOKUP($B12,'3.Tasks'!$BK$4:$BO$23,2,FALSE),0)</f>
        <v>0</v>
      </c>
      <c r="I12" s="529">
        <f t="shared" si="2"/>
        <v>0</v>
      </c>
      <c r="J12" s="529">
        <f>IFERROR(VLOOKUP($B12,'3.Tasks'!$BK$4:$BO$23,3,FALSE),0)</f>
        <v>0</v>
      </c>
      <c r="K12" s="529">
        <f t="shared" si="3"/>
        <v>0</v>
      </c>
      <c r="L12" s="529">
        <f>IFERROR(VLOOKUP($B12,'3.Tasks'!$BK$4:$BO$23,4,FALSE),0)</f>
        <v>0</v>
      </c>
      <c r="M12" s="529">
        <f t="shared" si="4"/>
        <v>0</v>
      </c>
      <c r="N12" s="529">
        <f>IFERROR(VLOOKUP($B12,'3.Tasks'!$BK$4:$BO$23,5,FALSE),0)</f>
        <v>0</v>
      </c>
      <c r="O12" s="529">
        <f t="shared" si="5"/>
        <v>0</v>
      </c>
      <c r="P12" s="530">
        <f t="shared" si="6"/>
        <v>0</v>
      </c>
      <c r="S12" s="538" t="s">
        <v>645</v>
      </c>
      <c r="T12" s="543" t="s">
        <v>42</v>
      </c>
      <c r="U12" s="539">
        <f t="shared" si="7"/>
        <v>0</v>
      </c>
      <c r="V12" s="539">
        <f t="shared" si="8"/>
        <v>0</v>
      </c>
      <c r="W12" s="539">
        <f t="shared" si="9"/>
        <v>0</v>
      </c>
      <c r="X12" s="539">
        <f t="shared" si="10"/>
        <v>0</v>
      </c>
      <c r="Y12" s="539">
        <f t="shared" si="11"/>
        <v>0</v>
      </c>
      <c r="Z12" s="815" t="s">
        <v>677</v>
      </c>
      <c r="AA12" s="816"/>
      <c r="AB12" s="816"/>
      <c r="AC12" s="816"/>
      <c r="AD12" s="816"/>
      <c r="AE12" s="816"/>
      <c r="AF12" s="816"/>
      <c r="AG12" s="817"/>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row>
    <row r="13" spans="1:64">
      <c r="A13" s="527" t="s">
        <v>695</v>
      </c>
      <c r="B13" s="527" t="s">
        <v>819</v>
      </c>
      <c r="C13" s="527" t="s">
        <v>19</v>
      </c>
      <c r="D13" s="527" t="s">
        <v>0</v>
      </c>
      <c r="E13" s="525" t="s">
        <v>39</v>
      </c>
      <c r="F13" s="526">
        <f>IFERROR(HLOOKUP(C13,'4.Team'!$CI$33:$DB$47,VLOOKUP(A13,$A$705:$B$714,2,FALSE),FALSE),0)</f>
        <v>0</v>
      </c>
      <c r="G13" s="526">
        <f t="shared" si="1"/>
        <v>0</v>
      </c>
      <c r="H13" s="525">
        <f>IFERROR(VLOOKUP($B13,'3.Tasks'!$BK$4:$BO$23,2,FALSE),0)</f>
        <v>0</v>
      </c>
      <c r="I13" s="529">
        <f t="shared" si="2"/>
        <v>0</v>
      </c>
      <c r="J13" s="529">
        <f>IFERROR(VLOOKUP($B13,'3.Tasks'!$BK$4:$BO$23,3,FALSE),0)</f>
        <v>0</v>
      </c>
      <c r="K13" s="529">
        <f t="shared" si="3"/>
        <v>0</v>
      </c>
      <c r="L13" s="529">
        <f>IFERROR(VLOOKUP($B13,'3.Tasks'!$BK$4:$BO$23,4,FALSE),0)</f>
        <v>0</v>
      </c>
      <c r="M13" s="529">
        <f t="shared" si="4"/>
        <v>0</v>
      </c>
      <c r="N13" s="529">
        <f>IFERROR(VLOOKUP($B13,'3.Tasks'!$BK$4:$BO$23,5,FALSE),0)</f>
        <v>0</v>
      </c>
      <c r="O13" s="529">
        <f t="shared" si="5"/>
        <v>0</v>
      </c>
      <c r="P13" s="530">
        <f t="shared" si="6"/>
        <v>0</v>
      </c>
      <c r="S13" s="538" t="s">
        <v>647</v>
      </c>
      <c r="T13" s="543" t="s">
        <v>43</v>
      </c>
      <c r="U13" s="539">
        <f t="shared" si="7"/>
        <v>0</v>
      </c>
      <c r="V13" s="539">
        <f t="shared" si="8"/>
        <v>0</v>
      </c>
      <c r="W13" s="539">
        <f t="shared" si="9"/>
        <v>0</v>
      </c>
      <c r="X13" s="539">
        <f t="shared" si="10"/>
        <v>0</v>
      </c>
      <c r="Y13" s="539">
        <f t="shared" si="11"/>
        <v>0</v>
      </c>
      <c r="Z13" s="812"/>
      <c r="AA13" s="813"/>
      <c r="AB13" s="813"/>
      <c r="AC13" s="813"/>
      <c r="AD13" s="813"/>
      <c r="AE13" s="813"/>
      <c r="AF13" s="813"/>
      <c r="AG13" s="814"/>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row>
    <row r="14" spans="1:64">
      <c r="A14" s="527" t="s">
        <v>696</v>
      </c>
      <c r="B14" s="527" t="s">
        <v>819</v>
      </c>
      <c r="C14" s="527" t="s">
        <v>19</v>
      </c>
      <c r="D14" s="527" t="s">
        <v>0</v>
      </c>
      <c r="E14" s="525" t="s">
        <v>39</v>
      </c>
      <c r="F14" s="526">
        <f>IFERROR(HLOOKUP(C14,'4.Team'!$CI$33:$DB$47,VLOOKUP(A14,$A$705:$B$714,2,FALSE),FALSE),0)</f>
        <v>0</v>
      </c>
      <c r="G14" s="526">
        <f t="shared" si="1"/>
        <v>0</v>
      </c>
      <c r="H14" s="525">
        <f>IFERROR(VLOOKUP($B14,'3.Tasks'!$BK$4:$BO$23,2,FALSE),0)</f>
        <v>0</v>
      </c>
      <c r="I14" s="529">
        <f t="shared" si="2"/>
        <v>0</v>
      </c>
      <c r="J14" s="529">
        <f>IFERROR(VLOOKUP($B14,'3.Tasks'!$BK$4:$BO$23,3,FALSE),0)</f>
        <v>0</v>
      </c>
      <c r="K14" s="529">
        <f t="shared" si="3"/>
        <v>0</v>
      </c>
      <c r="L14" s="529">
        <f>IFERROR(VLOOKUP($B14,'3.Tasks'!$BK$4:$BO$23,4,FALSE),0)</f>
        <v>0</v>
      </c>
      <c r="M14" s="529">
        <f t="shared" si="4"/>
        <v>0</v>
      </c>
      <c r="N14" s="529">
        <f>IFERROR(VLOOKUP($B14,'3.Tasks'!$BK$4:$BO$23,5,FALSE),0)</f>
        <v>0</v>
      </c>
      <c r="O14" s="529">
        <f t="shared" si="5"/>
        <v>0</v>
      </c>
      <c r="P14" s="530">
        <f t="shared" si="6"/>
        <v>0</v>
      </c>
      <c r="S14" s="538" t="s">
        <v>643</v>
      </c>
      <c r="T14" s="543" t="s">
        <v>880</v>
      </c>
      <c r="U14" s="539">
        <f>IFERROR(ROUND((SUM(U7:U13)*HLOOKUP('1.G.Data'!G1,Info!B5:C8,4,FALSE)),2),0)</f>
        <v>0</v>
      </c>
      <c r="V14" s="539">
        <f>IFERROR(ROUND((SUM(V7:V13)*HLOOKUP('1.G.Data'!G1,Info!B5:C8,4,FALSE)),2),0)</f>
        <v>0</v>
      </c>
      <c r="W14" s="539">
        <f>IFERROR(ROUND((SUM(W7:W13)*HLOOKUP('1.G.Data'!G1,Info!B5:C8,4,FALSE)),2),0)</f>
        <v>0</v>
      </c>
      <c r="X14" s="539">
        <f>IFERROR(ROUND((SUM(X7:X13)*HLOOKUP('1.G.Data'!G1,Info!B5:C8,4,FALSE)),2),0)</f>
        <v>0</v>
      </c>
      <c r="Y14" s="539">
        <f>SUM(U14:X14)</f>
        <v>0</v>
      </c>
      <c r="Z14" s="815" t="s">
        <v>676</v>
      </c>
      <c r="AA14" s="816"/>
      <c r="AB14" s="816"/>
      <c r="AC14" s="816"/>
      <c r="AD14" s="816"/>
      <c r="AE14" s="816"/>
      <c r="AF14" s="816"/>
      <c r="AG14" s="817"/>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row>
    <row r="15" spans="1:64">
      <c r="A15" s="527" t="s">
        <v>697</v>
      </c>
      <c r="B15" s="527" t="s">
        <v>819</v>
      </c>
      <c r="C15" s="527" t="s">
        <v>19</v>
      </c>
      <c r="D15" s="527" t="s">
        <v>0</v>
      </c>
      <c r="E15" s="525" t="s">
        <v>39</v>
      </c>
      <c r="F15" s="526">
        <f>IFERROR(HLOOKUP(C15,'4.Team'!$CI$33:$DB$47,VLOOKUP(A15,$A$705:$B$714,2,FALSE),FALSE),0)</f>
        <v>0</v>
      </c>
      <c r="G15" s="526">
        <f t="shared" si="1"/>
        <v>0</v>
      </c>
      <c r="H15" s="525">
        <f>IFERROR(VLOOKUP($B15,'3.Tasks'!$BK$4:$BO$23,2,FALSE),0)</f>
        <v>0</v>
      </c>
      <c r="I15" s="529">
        <f t="shared" si="2"/>
        <v>0</v>
      </c>
      <c r="J15" s="529">
        <f>IFERROR(VLOOKUP($B15,'3.Tasks'!$BK$4:$BO$23,3,FALSE),0)</f>
        <v>0</v>
      </c>
      <c r="K15" s="529">
        <f t="shared" si="3"/>
        <v>0</v>
      </c>
      <c r="L15" s="529">
        <f>IFERROR(VLOOKUP($B15,'3.Tasks'!$BK$4:$BO$23,4,FALSE),0)</f>
        <v>0</v>
      </c>
      <c r="M15" s="529">
        <f t="shared" si="4"/>
        <v>0</v>
      </c>
      <c r="N15" s="529">
        <f>IFERROR(VLOOKUP($B15,'3.Tasks'!$BK$4:$BO$23,5,FALSE),0)</f>
        <v>0</v>
      </c>
      <c r="O15" s="529">
        <f t="shared" si="5"/>
        <v>0</v>
      </c>
      <c r="P15" s="530">
        <f t="shared" si="6"/>
        <v>0</v>
      </c>
      <c r="S15" s="548"/>
      <c r="T15" s="549" t="s">
        <v>47</v>
      </c>
      <c r="U15" s="550">
        <f>ROUND(SUMIFS(I:I,$E:$E,$T15,$D:$D,$T$2,$B:$B,$T$3),2)</f>
        <v>0</v>
      </c>
      <c r="V15" s="550">
        <f>ROUND(SUMIFS(K:K,$E:$E,$T15,$D:$D,$T$2,$B:$B,$T$3),2)</f>
        <v>0</v>
      </c>
      <c r="W15" s="550">
        <f>ROUND(SUMIFS(M:M,$E:$E,$T15,$D:$D,$T$2,$B:$B,$T$3),2)</f>
        <v>0</v>
      </c>
      <c r="X15" s="550">
        <f>ROUND(SUMIFS(O:O,$E:$E,$T15,$D:$D,$T$2,$B:$B,$T$3),2)</f>
        <v>0</v>
      </c>
      <c r="Y15" s="550">
        <f t="shared" si="11"/>
        <v>0</v>
      </c>
      <c r="Z15" s="812"/>
      <c r="AA15" s="813"/>
      <c r="AB15" s="813"/>
      <c r="AC15" s="813"/>
      <c r="AD15" s="813"/>
      <c r="AE15" s="813"/>
      <c r="AF15" s="813"/>
      <c r="AG15" s="814"/>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64">
      <c r="A16" s="527" t="s">
        <v>698</v>
      </c>
      <c r="B16" s="527" t="s">
        <v>819</v>
      </c>
      <c r="C16" s="527" t="s">
        <v>19</v>
      </c>
      <c r="D16" s="527" t="s">
        <v>0</v>
      </c>
      <c r="E16" s="525" t="s">
        <v>39</v>
      </c>
      <c r="F16" s="526">
        <f>IFERROR(HLOOKUP(C16,'4.Team'!$CI$33:$DB$47,VLOOKUP(A16,$A$705:$B$714,2,FALSE),FALSE),0)</f>
        <v>0</v>
      </c>
      <c r="G16" s="526">
        <f t="shared" si="1"/>
        <v>0</v>
      </c>
      <c r="H16" s="525">
        <f>IFERROR(VLOOKUP($B16,'3.Tasks'!$BK$4:$BO$23,2,FALSE),0)</f>
        <v>0</v>
      </c>
      <c r="I16" s="529">
        <f t="shared" si="2"/>
        <v>0</v>
      </c>
      <c r="J16" s="529">
        <f>IFERROR(VLOOKUP($B16,'3.Tasks'!$BK$4:$BO$23,3,FALSE),0)</f>
        <v>0</v>
      </c>
      <c r="K16" s="529">
        <f t="shared" si="3"/>
        <v>0</v>
      </c>
      <c r="L16" s="529">
        <f>IFERROR(VLOOKUP($B16,'3.Tasks'!$BK$4:$BO$23,4,FALSE),0)</f>
        <v>0</v>
      </c>
      <c r="M16" s="529">
        <f t="shared" si="4"/>
        <v>0</v>
      </c>
      <c r="N16" s="529">
        <f>IFERROR(VLOOKUP($B16,'3.Tasks'!$BK$4:$BO$23,5,FALSE),0)</f>
        <v>0</v>
      </c>
      <c r="O16" s="529">
        <f t="shared" si="5"/>
        <v>0</v>
      </c>
      <c r="P16" s="530">
        <f t="shared" si="6"/>
        <v>0</v>
      </c>
      <c r="S16" s="538"/>
      <c r="T16" s="543" t="s">
        <v>45</v>
      </c>
      <c r="U16" s="539">
        <f>SUM(U7:U15)</f>
        <v>0</v>
      </c>
      <c r="V16" s="539">
        <f t="shared" ref="V16:Y16" si="12">SUM(V7:V15)</f>
        <v>0</v>
      </c>
      <c r="W16" s="539">
        <f t="shared" si="12"/>
        <v>0</v>
      </c>
      <c r="X16" s="539">
        <f t="shared" si="12"/>
        <v>0</v>
      </c>
      <c r="Y16" s="539">
        <f t="shared" si="12"/>
        <v>0</v>
      </c>
      <c r="Z16" s="812" t="str">
        <f>IF(Y16&gt;Info!B6,'7.Budget'!AC3,"")</f>
        <v/>
      </c>
      <c r="AA16" s="813"/>
      <c r="AB16" s="813"/>
      <c r="AC16" s="813"/>
      <c r="AD16" s="813"/>
      <c r="AE16" s="813"/>
      <c r="AF16" s="813"/>
      <c r="AG16" s="814"/>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row>
    <row r="17" spans="1:64">
      <c r="A17" s="527" t="s">
        <v>699</v>
      </c>
      <c r="B17" s="527" t="s">
        <v>819</v>
      </c>
      <c r="C17" s="527" t="s">
        <v>19</v>
      </c>
      <c r="D17" s="527" t="s">
        <v>0</v>
      </c>
      <c r="E17" s="525" t="s">
        <v>39</v>
      </c>
      <c r="F17" s="526">
        <f>IFERROR(HLOOKUP(C17,'4.Team'!$CI$33:$DB$47,VLOOKUP(A17,$A$705:$B$714,2,FALSE),FALSE),0)</f>
        <v>0</v>
      </c>
      <c r="G17" s="526">
        <f t="shared" si="1"/>
        <v>0</v>
      </c>
      <c r="H17" s="525">
        <f>IFERROR(VLOOKUP($B17,'3.Tasks'!$BK$4:$BO$23,2,FALSE),0)</f>
        <v>0</v>
      </c>
      <c r="I17" s="529">
        <f t="shared" si="2"/>
        <v>0</v>
      </c>
      <c r="J17" s="529">
        <f>IFERROR(VLOOKUP($B17,'3.Tasks'!$BK$4:$BO$23,3,FALSE),0)</f>
        <v>0</v>
      </c>
      <c r="K17" s="529">
        <f t="shared" si="3"/>
        <v>0</v>
      </c>
      <c r="L17" s="529">
        <f>IFERROR(VLOOKUP($B17,'3.Tasks'!$BK$4:$BO$23,4,FALSE),0)</f>
        <v>0</v>
      </c>
      <c r="M17" s="529">
        <f t="shared" si="4"/>
        <v>0</v>
      </c>
      <c r="N17" s="529">
        <f>IFERROR(VLOOKUP($B17,'3.Tasks'!$BK$4:$BO$23,5,FALSE),0)</f>
        <v>0</v>
      </c>
      <c r="O17" s="529">
        <f t="shared" si="5"/>
        <v>0</v>
      </c>
      <c r="P17" s="530">
        <f t="shared" si="6"/>
        <v>0</v>
      </c>
      <c r="S17" s="197"/>
      <c r="T17" s="534"/>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row>
    <row r="18" spans="1:64">
      <c r="A18" s="527" t="s">
        <v>700</v>
      </c>
      <c r="B18" s="527" t="s">
        <v>819</v>
      </c>
      <c r="C18" s="527" t="s">
        <v>19</v>
      </c>
      <c r="D18" s="527" t="s">
        <v>0</v>
      </c>
      <c r="E18" s="525" t="s">
        <v>39</v>
      </c>
      <c r="F18" s="526">
        <f>IFERROR(HLOOKUP(C18,'4.Team'!$CI$33:$DB$47,VLOOKUP(A18,$A$705:$B$714,2,FALSE),FALSE),0)</f>
        <v>0</v>
      </c>
      <c r="G18" s="526">
        <f t="shared" si="1"/>
        <v>0</v>
      </c>
      <c r="H18" s="525">
        <f>IFERROR(VLOOKUP($B18,'3.Tasks'!$BK$4:$BO$23,2,FALSE),0)</f>
        <v>0</v>
      </c>
      <c r="I18" s="529">
        <f t="shared" si="2"/>
        <v>0</v>
      </c>
      <c r="J18" s="529">
        <f>IFERROR(VLOOKUP($B18,'3.Tasks'!$BK$4:$BO$23,3,FALSE),0)</f>
        <v>0</v>
      </c>
      <c r="K18" s="529">
        <f t="shared" si="3"/>
        <v>0</v>
      </c>
      <c r="L18" s="529">
        <f>IFERROR(VLOOKUP($B18,'3.Tasks'!$BK$4:$BO$23,4,FALSE),0)</f>
        <v>0</v>
      </c>
      <c r="M18" s="529">
        <f t="shared" si="4"/>
        <v>0</v>
      </c>
      <c r="N18" s="529">
        <f>IFERROR(VLOOKUP($B18,'3.Tasks'!$BK$4:$BO$23,5,FALSE),0)</f>
        <v>0</v>
      </c>
      <c r="O18" s="529">
        <f t="shared" si="5"/>
        <v>0</v>
      </c>
      <c r="P18" s="530">
        <f t="shared" si="6"/>
        <v>0</v>
      </c>
      <c r="S18" s="197"/>
      <c r="T18" s="534"/>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row>
    <row r="19" spans="1:64">
      <c r="A19" s="527" t="s">
        <v>701</v>
      </c>
      <c r="B19" s="527" t="s">
        <v>819</v>
      </c>
      <c r="C19" s="527" t="s">
        <v>19</v>
      </c>
      <c r="D19" s="527" t="s">
        <v>0</v>
      </c>
      <c r="E19" s="525" t="s">
        <v>39</v>
      </c>
      <c r="F19" s="526">
        <f>IFERROR(HLOOKUP(C19,'4.Team'!$CI$33:$DB$47,VLOOKUP(A19,$A$705:$B$714,2,FALSE),FALSE),0)</f>
        <v>0</v>
      </c>
      <c r="G19" s="526">
        <f t="shared" si="1"/>
        <v>0</v>
      </c>
      <c r="H19" s="525">
        <f>IFERROR(VLOOKUP($B19,'3.Tasks'!$BK$4:$BO$23,2,FALSE),0)</f>
        <v>0</v>
      </c>
      <c r="I19" s="529">
        <f t="shared" si="2"/>
        <v>0</v>
      </c>
      <c r="J19" s="529">
        <f>IFERROR(VLOOKUP($B19,'3.Tasks'!$BK$4:$BO$23,3,FALSE),0)</f>
        <v>0</v>
      </c>
      <c r="K19" s="529">
        <f t="shared" si="3"/>
        <v>0</v>
      </c>
      <c r="L19" s="529">
        <f>IFERROR(VLOOKUP($B19,'3.Tasks'!$BK$4:$BO$23,4,FALSE),0)</f>
        <v>0</v>
      </c>
      <c r="M19" s="529">
        <f t="shared" si="4"/>
        <v>0</v>
      </c>
      <c r="N19" s="529">
        <f>IFERROR(VLOOKUP($B19,'3.Tasks'!$BK$4:$BO$23,5,FALSE),0)</f>
        <v>0</v>
      </c>
      <c r="O19" s="529">
        <f t="shared" si="5"/>
        <v>0</v>
      </c>
      <c r="P19" s="530">
        <f t="shared" si="6"/>
        <v>0</v>
      </c>
      <c r="S19" s="197"/>
      <c r="T19" s="534"/>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row>
    <row r="20" spans="1:64" ht="20.3">
      <c r="A20" s="527" t="s">
        <v>702</v>
      </c>
      <c r="B20" s="527" t="s">
        <v>819</v>
      </c>
      <c r="C20" s="527" t="s">
        <v>19</v>
      </c>
      <c r="D20" s="527" t="s">
        <v>0</v>
      </c>
      <c r="E20" s="525" t="s">
        <v>39</v>
      </c>
      <c r="F20" s="526">
        <f>IFERROR(HLOOKUP(C20,'4.Team'!$CI$33:$DB$47,VLOOKUP(A20,$A$705:$B$714,2,FALSE),FALSE),0)</f>
        <v>0</v>
      </c>
      <c r="G20" s="526">
        <f t="shared" si="1"/>
        <v>0</v>
      </c>
      <c r="H20" s="525">
        <f>IFERROR(VLOOKUP($B20,'3.Tasks'!$BK$4:$BO$23,2,FALSE),0)</f>
        <v>0</v>
      </c>
      <c r="I20" s="529">
        <f t="shared" si="2"/>
        <v>0</v>
      </c>
      <c r="J20" s="529">
        <f>IFERROR(VLOOKUP($B20,'3.Tasks'!$BK$4:$BO$23,3,FALSE),0)</f>
        <v>0</v>
      </c>
      <c r="K20" s="529">
        <f t="shared" si="3"/>
        <v>0</v>
      </c>
      <c r="L20" s="529">
        <f>IFERROR(VLOOKUP($B20,'3.Tasks'!$BK$4:$BO$23,4,FALSE),0)</f>
        <v>0</v>
      </c>
      <c r="M20" s="529">
        <f t="shared" si="4"/>
        <v>0</v>
      </c>
      <c r="N20" s="529">
        <f>IFERROR(VLOOKUP($B20,'3.Tasks'!$BK$4:$BO$23,5,FALSE),0)</f>
        <v>0</v>
      </c>
      <c r="O20" s="529">
        <f t="shared" si="5"/>
        <v>0</v>
      </c>
      <c r="P20" s="530">
        <f t="shared" si="6"/>
        <v>0</v>
      </c>
      <c r="S20" s="818" t="s">
        <v>992</v>
      </c>
      <c r="T20" s="818"/>
      <c r="U20" s="818"/>
      <c r="V20" s="818"/>
      <c r="W20" s="818"/>
      <c r="X20" s="818"/>
      <c r="Y20" s="818"/>
      <c r="Z20" s="818"/>
      <c r="AA20" s="818"/>
      <c r="AB20" s="818"/>
      <c r="AC20" s="818"/>
      <c r="AD20" s="818"/>
      <c r="AE20" s="818"/>
      <c r="AF20" s="818"/>
      <c r="AG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row>
    <row r="21" spans="1:64" ht="18.350000000000001">
      <c r="A21" s="527" t="s">
        <v>703</v>
      </c>
      <c r="B21" s="527" t="s">
        <v>819</v>
      </c>
      <c r="C21" s="527" t="s">
        <v>19</v>
      </c>
      <c r="D21" s="527" t="s">
        <v>0</v>
      </c>
      <c r="E21" s="525" t="s">
        <v>39</v>
      </c>
      <c r="F21" s="526">
        <f>IFERROR(HLOOKUP(C21,'4.Team'!$CI$33:$DB$47,VLOOKUP(A21,$A$705:$B$714,2,FALSE),FALSE),0)</f>
        <v>0</v>
      </c>
      <c r="G21" s="526">
        <f t="shared" si="1"/>
        <v>0</v>
      </c>
      <c r="H21" s="525">
        <f>IFERROR(VLOOKUP($B21,'3.Tasks'!$BK$4:$BO$23,2,FALSE),0)</f>
        <v>0</v>
      </c>
      <c r="I21" s="529">
        <f t="shared" si="2"/>
        <v>0</v>
      </c>
      <c r="J21" s="529">
        <f>IFERROR(VLOOKUP($B21,'3.Tasks'!$BK$4:$BO$23,3,FALSE),0)</f>
        <v>0</v>
      </c>
      <c r="K21" s="529">
        <f t="shared" si="3"/>
        <v>0</v>
      </c>
      <c r="L21" s="529">
        <f>IFERROR(VLOOKUP($B21,'3.Tasks'!$BK$4:$BO$23,4,FALSE),0)</f>
        <v>0</v>
      </c>
      <c r="M21" s="529">
        <f t="shared" si="4"/>
        <v>0</v>
      </c>
      <c r="N21" s="529">
        <f>IFERROR(VLOOKUP($B21,'3.Tasks'!$BK$4:$BO$23,5,FALSE),0)</f>
        <v>0</v>
      </c>
      <c r="O21" s="529">
        <f t="shared" si="5"/>
        <v>0</v>
      </c>
      <c r="P21" s="530">
        <f t="shared" si="6"/>
        <v>0</v>
      </c>
      <c r="S21" s="535" t="s">
        <v>651</v>
      </c>
      <c r="T21" s="535"/>
      <c r="U21" s="536" t="str">
        <f>+'6.Other Exp. Categories'!V2</f>
        <v/>
      </c>
      <c r="V21" s="536">
        <f>+'6.Other Exp. Categories'!W2</f>
        <v>0</v>
      </c>
      <c r="W21" s="536">
        <f>+'6.Other Exp. Categories'!X2</f>
        <v>0</v>
      </c>
      <c r="X21" s="536">
        <f>+'6.Other Exp. Categories'!Y2</f>
        <v>0</v>
      </c>
      <c r="Y21" s="536">
        <f>+'6.Other Exp. Categories'!Z2</f>
        <v>0</v>
      </c>
      <c r="Z21" s="536">
        <f>+'6.Other Exp. Categories'!AA2</f>
        <v>0</v>
      </c>
      <c r="AA21" s="536">
        <f>+'6.Other Exp. Categories'!AB2</f>
        <v>0</v>
      </c>
      <c r="AB21" s="536">
        <f>+'6.Other Exp. Categories'!AC2</f>
        <v>0</v>
      </c>
      <c r="AC21" s="536">
        <f>+'6.Other Exp. Categories'!AD2</f>
        <v>0</v>
      </c>
      <c r="AD21" s="536">
        <f>+'6.Other Exp. Categories'!AE2</f>
        <v>0</v>
      </c>
      <c r="AE21" s="536">
        <f>+'6.Other Exp. Categories'!AF2</f>
        <v>0</v>
      </c>
      <c r="AF21" s="536" t="str">
        <f>+'6.Other Exp. Categories'!AG2</f>
        <v>Total</v>
      </c>
      <c r="AG21" s="110"/>
      <c r="AI21" s="169" t="s">
        <v>998</v>
      </c>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row>
    <row r="22" spans="1:64">
      <c r="A22" s="527" t="s">
        <v>694</v>
      </c>
      <c r="B22" s="527" t="s">
        <v>820</v>
      </c>
      <c r="C22" s="527" t="s">
        <v>20</v>
      </c>
      <c r="D22" s="527" t="s">
        <v>0</v>
      </c>
      <c r="E22" s="525" t="s">
        <v>39</v>
      </c>
      <c r="F22" s="526">
        <f>IFERROR(HLOOKUP(C22,'4.Team'!$CI$33:$DB$47,VLOOKUP(A22,$A$705:$B$714,2,FALSE),FALSE),0)</f>
        <v>0</v>
      </c>
      <c r="G22" s="526">
        <f t="shared" si="1"/>
        <v>0</v>
      </c>
      <c r="H22" s="525">
        <f>IFERROR(VLOOKUP($B22,'3.Tasks'!$BK$4:$BO$23,2,FALSE),0)</f>
        <v>0</v>
      </c>
      <c r="I22" s="529">
        <f t="shared" si="2"/>
        <v>0</v>
      </c>
      <c r="J22" s="529">
        <f>IFERROR(VLOOKUP($B22,'3.Tasks'!$BK$4:$BO$23,3,FALSE),0)</f>
        <v>0</v>
      </c>
      <c r="K22" s="529">
        <f t="shared" si="3"/>
        <v>0</v>
      </c>
      <c r="L22" s="529">
        <f>IFERROR(VLOOKUP($B22,'3.Tasks'!$BK$4:$BO$23,4,FALSE),0)</f>
        <v>0</v>
      </c>
      <c r="M22" s="529">
        <f t="shared" si="4"/>
        <v>0</v>
      </c>
      <c r="N22" s="529">
        <f>IFERROR(VLOOKUP($B22,'3.Tasks'!$BK$4:$BO$23,5,FALSE),0)</f>
        <v>0</v>
      </c>
      <c r="O22" s="529">
        <f t="shared" si="5"/>
        <v>0</v>
      </c>
      <c r="P22" s="530">
        <f t="shared" si="6"/>
        <v>0</v>
      </c>
      <c r="S22" s="538" t="s">
        <v>650</v>
      </c>
      <c r="T22" s="543" t="s">
        <v>39</v>
      </c>
      <c r="U22" s="539">
        <f>SUMIFS($F:$F,$E:$E,$T22,$D:$D,U$21)</f>
        <v>0</v>
      </c>
      <c r="V22" s="539">
        <f t="shared" ref="V22:AE30" si="13">SUMIFS($F:$F,$E:$E,$T22,$D:$D,V$21)</f>
        <v>0</v>
      </c>
      <c r="W22" s="539">
        <f t="shared" si="13"/>
        <v>0</v>
      </c>
      <c r="X22" s="539">
        <f t="shared" si="13"/>
        <v>0</v>
      </c>
      <c r="Y22" s="539">
        <f t="shared" si="13"/>
        <v>0</v>
      </c>
      <c r="Z22" s="539">
        <f t="shared" si="13"/>
        <v>0</v>
      </c>
      <c r="AA22" s="539">
        <f t="shared" si="13"/>
        <v>0</v>
      </c>
      <c r="AB22" s="539">
        <f t="shared" si="13"/>
        <v>0</v>
      </c>
      <c r="AC22" s="539">
        <f t="shared" si="13"/>
        <v>0</v>
      </c>
      <c r="AD22" s="539">
        <f t="shared" si="13"/>
        <v>0</v>
      </c>
      <c r="AE22" s="539">
        <f t="shared" si="13"/>
        <v>0</v>
      </c>
      <c r="AF22" s="539">
        <f>SUM(U22:AE22)</f>
        <v>0</v>
      </c>
      <c r="AG22" s="110"/>
      <c r="AI22" s="169" t="s">
        <v>937</v>
      </c>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row>
    <row r="23" spans="1:64">
      <c r="A23" s="527" t="s">
        <v>695</v>
      </c>
      <c r="B23" s="527" t="s">
        <v>820</v>
      </c>
      <c r="C23" s="527" t="s">
        <v>20</v>
      </c>
      <c r="D23" s="527" t="s">
        <v>0</v>
      </c>
      <c r="E23" s="525" t="s">
        <v>39</v>
      </c>
      <c r="F23" s="526">
        <f>IFERROR(HLOOKUP(C23,'4.Team'!$CI$33:$DB$47,VLOOKUP(A23,$A$705:$B$714,2,FALSE),FALSE),0)</f>
        <v>0</v>
      </c>
      <c r="G23" s="526">
        <f t="shared" si="1"/>
        <v>0</v>
      </c>
      <c r="H23" s="525">
        <f>IFERROR(VLOOKUP($B23,'3.Tasks'!$BK$4:$BO$23,2,FALSE),0)</f>
        <v>0</v>
      </c>
      <c r="I23" s="529">
        <f t="shared" si="2"/>
        <v>0</v>
      </c>
      <c r="J23" s="529">
        <f>IFERROR(VLOOKUP($B23,'3.Tasks'!$BK$4:$BO$23,3,FALSE),0)</f>
        <v>0</v>
      </c>
      <c r="K23" s="529">
        <f t="shared" si="3"/>
        <v>0</v>
      </c>
      <c r="L23" s="529">
        <f>IFERROR(VLOOKUP($B23,'3.Tasks'!$BK$4:$BO$23,4,FALSE),0)</f>
        <v>0</v>
      </c>
      <c r="M23" s="529">
        <f t="shared" si="4"/>
        <v>0</v>
      </c>
      <c r="N23" s="529">
        <f>IFERROR(VLOOKUP($B23,'3.Tasks'!$BK$4:$BO$23,5,FALSE),0)</f>
        <v>0</v>
      </c>
      <c r="O23" s="529">
        <f t="shared" si="5"/>
        <v>0</v>
      </c>
      <c r="P23" s="530">
        <f t="shared" si="6"/>
        <v>0</v>
      </c>
      <c r="S23" s="538" t="s">
        <v>649</v>
      </c>
      <c r="T23" s="543" t="s">
        <v>4</v>
      </c>
      <c r="U23" s="539">
        <f t="shared" ref="U23:U30" si="14">SUMIFS($F:$F,$E:$E,$T23,$D:$D,U$21)</f>
        <v>0</v>
      </c>
      <c r="V23" s="539">
        <f t="shared" si="13"/>
        <v>0</v>
      </c>
      <c r="W23" s="539">
        <f t="shared" si="13"/>
        <v>0</v>
      </c>
      <c r="X23" s="539">
        <f t="shared" si="13"/>
        <v>0</v>
      </c>
      <c r="Y23" s="539">
        <f t="shared" si="13"/>
        <v>0</v>
      </c>
      <c r="Z23" s="539">
        <f t="shared" si="13"/>
        <v>0</v>
      </c>
      <c r="AA23" s="539">
        <f t="shared" si="13"/>
        <v>0</v>
      </c>
      <c r="AB23" s="539">
        <f t="shared" si="13"/>
        <v>0</v>
      </c>
      <c r="AC23" s="539">
        <f t="shared" si="13"/>
        <v>0</v>
      </c>
      <c r="AD23" s="539">
        <f t="shared" si="13"/>
        <v>0</v>
      </c>
      <c r="AE23" s="539">
        <f t="shared" si="13"/>
        <v>0</v>
      </c>
      <c r="AF23" s="539">
        <f t="shared" ref="AF23:AF31" si="15">SUM(U23:AE23)</f>
        <v>0</v>
      </c>
      <c r="AG23" s="110"/>
      <c r="AI23" s="169" t="s">
        <v>936</v>
      </c>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row>
    <row r="24" spans="1:64">
      <c r="A24" s="527" t="s">
        <v>696</v>
      </c>
      <c r="B24" s="527" t="s">
        <v>820</v>
      </c>
      <c r="C24" s="527" t="s">
        <v>20</v>
      </c>
      <c r="D24" s="527" t="s">
        <v>0</v>
      </c>
      <c r="E24" s="525" t="s">
        <v>39</v>
      </c>
      <c r="F24" s="526">
        <f>IFERROR(HLOOKUP(C24,'4.Team'!$CI$33:$DB$47,VLOOKUP(A24,$A$705:$B$714,2,FALSE),FALSE),0)</f>
        <v>0</v>
      </c>
      <c r="G24" s="526">
        <f t="shared" si="1"/>
        <v>0</v>
      </c>
      <c r="H24" s="525">
        <f>IFERROR(VLOOKUP($B24,'3.Tasks'!$BK$4:$BO$23,2,FALSE),0)</f>
        <v>0</v>
      </c>
      <c r="I24" s="529">
        <f t="shared" si="2"/>
        <v>0</v>
      </c>
      <c r="J24" s="529">
        <f>IFERROR(VLOOKUP($B24,'3.Tasks'!$BK$4:$BO$23,3,FALSE),0)</f>
        <v>0</v>
      </c>
      <c r="K24" s="529">
        <f t="shared" si="3"/>
        <v>0</v>
      </c>
      <c r="L24" s="529">
        <f>IFERROR(VLOOKUP($B24,'3.Tasks'!$BK$4:$BO$23,4,FALSE),0)</f>
        <v>0</v>
      </c>
      <c r="M24" s="529">
        <f t="shared" si="4"/>
        <v>0</v>
      </c>
      <c r="N24" s="529">
        <f>IFERROR(VLOOKUP($B24,'3.Tasks'!$BK$4:$BO$23,5,FALSE),0)</f>
        <v>0</v>
      </c>
      <c r="O24" s="529">
        <f t="shared" si="5"/>
        <v>0</v>
      </c>
      <c r="P24" s="530">
        <f t="shared" si="6"/>
        <v>0</v>
      </c>
      <c r="S24" s="538" t="s">
        <v>646</v>
      </c>
      <c r="T24" s="543" t="s">
        <v>40</v>
      </c>
      <c r="U24" s="539">
        <f t="shared" si="14"/>
        <v>0</v>
      </c>
      <c r="V24" s="539">
        <f t="shared" si="13"/>
        <v>0</v>
      </c>
      <c r="W24" s="539">
        <f t="shared" si="13"/>
        <v>0</v>
      </c>
      <c r="X24" s="539">
        <f t="shared" si="13"/>
        <v>0</v>
      </c>
      <c r="Y24" s="539">
        <f t="shared" si="13"/>
        <v>0</v>
      </c>
      <c r="Z24" s="539">
        <f t="shared" si="13"/>
        <v>0</v>
      </c>
      <c r="AA24" s="539">
        <f t="shared" si="13"/>
        <v>0</v>
      </c>
      <c r="AB24" s="539">
        <f t="shared" si="13"/>
        <v>0</v>
      </c>
      <c r="AC24" s="539">
        <f t="shared" si="13"/>
        <v>0</v>
      </c>
      <c r="AD24" s="539">
        <f t="shared" si="13"/>
        <v>0</v>
      </c>
      <c r="AE24" s="539">
        <f t="shared" si="13"/>
        <v>0</v>
      </c>
      <c r="AF24" s="539">
        <f t="shared" si="15"/>
        <v>0</v>
      </c>
      <c r="AG24" s="110"/>
      <c r="AI24" s="169" t="s">
        <v>938</v>
      </c>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row>
    <row r="25" spans="1:64">
      <c r="A25" s="527" t="s">
        <v>697</v>
      </c>
      <c r="B25" s="527" t="s">
        <v>820</v>
      </c>
      <c r="C25" s="527" t="s">
        <v>20</v>
      </c>
      <c r="D25" s="527" t="s">
        <v>0</v>
      </c>
      <c r="E25" s="525" t="s">
        <v>39</v>
      </c>
      <c r="F25" s="526">
        <f>IFERROR(HLOOKUP(C25,'4.Team'!$CI$33:$DB$47,VLOOKUP(A25,$A$705:$B$714,2,FALSE),FALSE),0)</f>
        <v>0</v>
      </c>
      <c r="G25" s="526">
        <f t="shared" si="1"/>
        <v>0</v>
      </c>
      <c r="H25" s="525">
        <f>IFERROR(VLOOKUP($B25,'3.Tasks'!$BK$4:$BO$23,2,FALSE),0)</f>
        <v>0</v>
      </c>
      <c r="I25" s="529">
        <f t="shared" si="2"/>
        <v>0</v>
      </c>
      <c r="J25" s="529">
        <f>IFERROR(VLOOKUP($B25,'3.Tasks'!$BK$4:$BO$23,3,FALSE),0)</f>
        <v>0</v>
      </c>
      <c r="K25" s="529">
        <f t="shared" si="3"/>
        <v>0</v>
      </c>
      <c r="L25" s="529">
        <f>IFERROR(VLOOKUP($B25,'3.Tasks'!$BK$4:$BO$23,4,FALSE),0)</f>
        <v>0</v>
      </c>
      <c r="M25" s="529">
        <f t="shared" si="4"/>
        <v>0</v>
      </c>
      <c r="N25" s="529">
        <f>IFERROR(VLOOKUP($B25,'3.Tasks'!$BK$4:$BO$23,5,FALSE),0)</f>
        <v>0</v>
      </c>
      <c r="O25" s="529">
        <f t="shared" si="5"/>
        <v>0</v>
      </c>
      <c r="P25" s="530">
        <f t="shared" si="6"/>
        <v>0</v>
      </c>
      <c r="S25" s="538" t="s">
        <v>648</v>
      </c>
      <c r="T25" s="543" t="s">
        <v>41</v>
      </c>
      <c r="U25" s="539">
        <f t="shared" si="14"/>
        <v>0</v>
      </c>
      <c r="V25" s="539">
        <f t="shared" si="13"/>
        <v>0</v>
      </c>
      <c r="W25" s="539">
        <f t="shared" si="13"/>
        <v>0</v>
      </c>
      <c r="X25" s="539">
        <f t="shared" si="13"/>
        <v>0</v>
      </c>
      <c r="Y25" s="539">
        <f t="shared" si="13"/>
        <v>0</v>
      </c>
      <c r="Z25" s="539">
        <f t="shared" si="13"/>
        <v>0</v>
      </c>
      <c r="AA25" s="539">
        <f t="shared" si="13"/>
        <v>0</v>
      </c>
      <c r="AB25" s="539">
        <f t="shared" si="13"/>
        <v>0</v>
      </c>
      <c r="AC25" s="539">
        <f t="shared" si="13"/>
        <v>0</v>
      </c>
      <c r="AD25" s="539">
        <f t="shared" si="13"/>
        <v>0</v>
      </c>
      <c r="AE25" s="539">
        <f t="shared" si="13"/>
        <v>0</v>
      </c>
      <c r="AF25" s="539">
        <f t="shared" si="15"/>
        <v>0</v>
      </c>
      <c r="AG25" s="110"/>
      <c r="AI25" s="169" t="s">
        <v>939</v>
      </c>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row>
    <row r="26" spans="1:64">
      <c r="A26" s="527" t="s">
        <v>698</v>
      </c>
      <c r="B26" s="527" t="s">
        <v>820</v>
      </c>
      <c r="C26" s="527" t="s">
        <v>20</v>
      </c>
      <c r="D26" s="527" t="s">
        <v>0</v>
      </c>
      <c r="E26" s="525" t="s">
        <v>39</v>
      </c>
      <c r="F26" s="526">
        <f>IFERROR(HLOOKUP(C26,'4.Team'!$CI$33:$DB$47,VLOOKUP(A26,$A$705:$B$714,2,FALSE),FALSE),0)</f>
        <v>0</v>
      </c>
      <c r="G26" s="526">
        <f t="shared" si="1"/>
        <v>0</v>
      </c>
      <c r="H26" s="525">
        <f>IFERROR(VLOOKUP($B26,'3.Tasks'!$BK$4:$BO$23,2,FALSE),0)</f>
        <v>0</v>
      </c>
      <c r="I26" s="529">
        <f t="shared" si="2"/>
        <v>0</v>
      </c>
      <c r="J26" s="529">
        <f>IFERROR(VLOOKUP($B26,'3.Tasks'!$BK$4:$BO$23,3,FALSE),0)</f>
        <v>0</v>
      </c>
      <c r="K26" s="529">
        <f t="shared" si="3"/>
        <v>0</v>
      </c>
      <c r="L26" s="529">
        <f>IFERROR(VLOOKUP($B26,'3.Tasks'!$BK$4:$BO$23,4,FALSE),0)</f>
        <v>0</v>
      </c>
      <c r="M26" s="529">
        <f t="shared" si="4"/>
        <v>0</v>
      </c>
      <c r="N26" s="529">
        <f>IFERROR(VLOOKUP($B26,'3.Tasks'!$BK$4:$BO$23,5,FALSE),0)</f>
        <v>0</v>
      </c>
      <c r="O26" s="529">
        <f t="shared" si="5"/>
        <v>0</v>
      </c>
      <c r="P26" s="530">
        <f t="shared" si="6"/>
        <v>0</v>
      </c>
      <c r="S26" s="538" t="s">
        <v>644</v>
      </c>
      <c r="T26" s="543" t="s">
        <v>471</v>
      </c>
      <c r="U26" s="539">
        <f t="shared" si="14"/>
        <v>0</v>
      </c>
      <c r="V26" s="539">
        <f t="shared" si="13"/>
        <v>0</v>
      </c>
      <c r="W26" s="539">
        <f t="shared" si="13"/>
        <v>0</v>
      </c>
      <c r="X26" s="539">
        <f t="shared" si="13"/>
        <v>0</v>
      </c>
      <c r="Y26" s="539">
        <f t="shared" si="13"/>
        <v>0</v>
      </c>
      <c r="Z26" s="539">
        <f t="shared" si="13"/>
        <v>0</v>
      </c>
      <c r="AA26" s="539">
        <f t="shared" si="13"/>
        <v>0</v>
      </c>
      <c r="AB26" s="539">
        <f t="shared" si="13"/>
        <v>0</v>
      </c>
      <c r="AC26" s="539">
        <f t="shared" si="13"/>
        <v>0</v>
      </c>
      <c r="AD26" s="539">
        <f t="shared" si="13"/>
        <v>0</v>
      </c>
      <c r="AE26" s="539">
        <f t="shared" si="13"/>
        <v>0</v>
      </c>
      <c r="AF26" s="539">
        <f t="shared" si="15"/>
        <v>0</v>
      </c>
      <c r="AG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64">
      <c r="A27" s="527" t="s">
        <v>699</v>
      </c>
      <c r="B27" s="527" t="s">
        <v>820</v>
      </c>
      <c r="C27" s="527" t="s">
        <v>20</v>
      </c>
      <c r="D27" s="527" t="s">
        <v>0</v>
      </c>
      <c r="E27" s="525" t="s">
        <v>39</v>
      </c>
      <c r="F27" s="526">
        <f>IFERROR(HLOOKUP(C27,'4.Team'!$CI$33:$DB$47,VLOOKUP(A27,$A$705:$B$714,2,FALSE),FALSE),0)</f>
        <v>0</v>
      </c>
      <c r="G27" s="526">
        <f t="shared" si="1"/>
        <v>0</v>
      </c>
      <c r="H27" s="525">
        <f>IFERROR(VLOOKUP($B27,'3.Tasks'!$BK$4:$BO$23,2,FALSE),0)</f>
        <v>0</v>
      </c>
      <c r="I27" s="529">
        <f t="shared" si="2"/>
        <v>0</v>
      </c>
      <c r="J27" s="529">
        <f>IFERROR(VLOOKUP($B27,'3.Tasks'!$BK$4:$BO$23,3,FALSE),0)</f>
        <v>0</v>
      </c>
      <c r="K27" s="529">
        <f t="shared" si="3"/>
        <v>0</v>
      </c>
      <c r="L27" s="529">
        <f>IFERROR(VLOOKUP($B27,'3.Tasks'!$BK$4:$BO$23,4,FALSE),0)</f>
        <v>0</v>
      </c>
      <c r="M27" s="529">
        <f t="shared" si="4"/>
        <v>0</v>
      </c>
      <c r="N27" s="529">
        <f>IFERROR(VLOOKUP($B27,'3.Tasks'!$BK$4:$BO$23,5,FALSE),0)</f>
        <v>0</v>
      </c>
      <c r="O27" s="529">
        <f t="shared" si="5"/>
        <v>0</v>
      </c>
      <c r="P27" s="530">
        <f t="shared" si="6"/>
        <v>0</v>
      </c>
      <c r="S27" s="538" t="s">
        <v>645</v>
      </c>
      <c r="T27" s="543" t="s">
        <v>42</v>
      </c>
      <c r="U27" s="539">
        <f t="shared" si="14"/>
        <v>0</v>
      </c>
      <c r="V27" s="539">
        <f t="shared" si="13"/>
        <v>0</v>
      </c>
      <c r="W27" s="539">
        <f t="shared" si="13"/>
        <v>0</v>
      </c>
      <c r="X27" s="539">
        <f t="shared" si="13"/>
        <v>0</v>
      </c>
      <c r="Y27" s="539">
        <f t="shared" si="13"/>
        <v>0</v>
      </c>
      <c r="Z27" s="539">
        <f t="shared" si="13"/>
        <v>0</v>
      </c>
      <c r="AA27" s="539">
        <f t="shared" si="13"/>
        <v>0</v>
      </c>
      <c r="AB27" s="539">
        <f t="shared" si="13"/>
        <v>0</v>
      </c>
      <c r="AC27" s="539">
        <f t="shared" si="13"/>
        <v>0</v>
      </c>
      <c r="AD27" s="539">
        <f t="shared" si="13"/>
        <v>0</v>
      </c>
      <c r="AE27" s="539">
        <f t="shared" si="13"/>
        <v>0</v>
      </c>
      <c r="AF27" s="539">
        <f t="shared" si="15"/>
        <v>0</v>
      </c>
      <c r="AG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row>
    <row r="28" spans="1:64">
      <c r="A28" s="527" t="s">
        <v>700</v>
      </c>
      <c r="B28" s="527" t="s">
        <v>820</v>
      </c>
      <c r="C28" s="527" t="s">
        <v>20</v>
      </c>
      <c r="D28" s="527" t="s">
        <v>0</v>
      </c>
      <c r="E28" s="525" t="s">
        <v>39</v>
      </c>
      <c r="F28" s="526">
        <f>IFERROR(HLOOKUP(C28,'4.Team'!$CI$33:$DB$47,VLOOKUP(A28,$A$705:$B$714,2,FALSE),FALSE),0)</f>
        <v>0</v>
      </c>
      <c r="G28" s="526">
        <f t="shared" si="1"/>
        <v>0</v>
      </c>
      <c r="H28" s="525">
        <f>IFERROR(VLOOKUP($B28,'3.Tasks'!$BK$4:$BO$23,2,FALSE),0)</f>
        <v>0</v>
      </c>
      <c r="I28" s="529">
        <f t="shared" si="2"/>
        <v>0</v>
      </c>
      <c r="J28" s="529">
        <f>IFERROR(VLOOKUP($B28,'3.Tasks'!$BK$4:$BO$23,3,FALSE),0)</f>
        <v>0</v>
      </c>
      <c r="K28" s="529">
        <f t="shared" si="3"/>
        <v>0</v>
      </c>
      <c r="L28" s="529">
        <f>IFERROR(VLOOKUP($B28,'3.Tasks'!$BK$4:$BO$23,4,FALSE),0)</f>
        <v>0</v>
      </c>
      <c r="M28" s="529">
        <f t="shared" si="4"/>
        <v>0</v>
      </c>
      <c r="N28" s="529">
        <f>IFERROR(VLOOKUP($B28,'3.Tasks'!$BK$4:$BO$23,5,FALSE),0)</f>
        <v>0</v>
      </c>
      <c r="O28" s="529">
        <f t="shared" si="5"/>
        <v>0</v>
      </c>
      <c r="P28" s="530">
        <f t="shared" si="6"/>
        <v>0</v>
      </c>
      <c r="S28" s="538" t="s">
        <v>647</v>
      </c>
      <c r="T28" s="543" t="s">
        <v>43</v>
      </c>
      <c r="U28" s="539">
        <f t="shared" si="14"/>
        <v>0</v>
      </c>
      <c r="V28" s="539">
        <f t="shared" si="13"/>
        <v>0</v>
      </c>
      <c r="W28" s="539">
        <f t="shared" si="13"/>
        <v>0</v>
      </c>
      <c r="X28" s="539">
        <f t="shared" si="13"/>
        <v>0</v>
      </c>
      <c r="Y28" s="539">
        <f t="shared" si="13"/>
        <v>0</v>
      </c>
      <c r="Z28" s="539">
        <f t="shared" si="13"/>
        <v>0</v>
      </c>
      <c r="AA28" s="539">
        <f t="shared" si="13"/>
        <v>0</v>
      </c>
      <c r="AB28" s="539">
        <f t="shared" si="13"/>
        <v>0</v>
      </c>
      <c r="AC28" s="539">
        <f t="shared" si="13"/>
        <v>0</v>
      </c>
      <c r="AD28" s="539">
        <f t="shared" si="13"/>
        <v>0</v>
      </c>
      <c r="AE28" s="539">
        <f t="shared" si="13"/>
        <v>0</v>
      </c>
      <c r="AF28" s="539">
        <f t="shared" si="15"/>
        <v>0</v>
      </c>
      <c r="AG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row>
    <row r="29" spans="1:64">
      <c r="A29" s="527" t="s">
        <v>701</v>
      </c>
      <c r="B29" s="527" t="s">
        <v>820</v>
      </c>
      <c r="C29" s="527" t="s">
        <v>20</v>
      </c>
      <c r="D29" s="527" t="s">
        <v>0</v>
      </c>
      <c r="E29" s="525" t="s">
        <v>39</v>
      </c>
      <c r="F29" s="526">
        <f>IFERROR(HLOOKUP(C29,'4.Team'!$CI$33:$DB$47,VLOOKUP(A29,$A$705:$B$714,2,FALSE),FALSE),0)</f>
        <v>0</v>
      </c>
      <c r="G29" s="526">
        <f t="shared" si="1"/>
        <v>0</v>
      </c>
      <c r="H29" s="525">
        <f>IFERROR(VLOOKUP($B29,'3.Tasks'!$BK$4:$BO$23,2,FALSE),0)</f>
        <v>0</v>
      </c>
      <c r="I29" s="529">
        <f t="shared" si="2"/>
        <v>0</v>
      </c>
      <c r="J29" s="529">
        <f>IFERROR(VLOOKUP($B29,'3.Tasks'!$BK$4:$BO$23,3,FALSE),0)</f>
        <v>0</v>
      </c>
      <c r="K29" s="529">
        <f t="shared" si="3"/>
        <v>0</v>
      </c>
      <c r="L29" s="529">
        <f>IFERROR(VLOOKUP($B29,'3.Tasks'!$BK$4:$BO$23,4,FALSE),0)</f>
        <v>0</v>
      </c>
      <c r="M29" s="529">
        <f t="shared" si="4"/>
        <v>0</v>
      </c>
      <c r="N29" s="529">
        <f>IFERROR(VLOOKUP($B29,'3.Tasks'!$BK$4:$BO$23,5,FALSE),0)</f>
        <v>0</v>
      </c>
      <c r="O29" s="529">
        <f t="shared" si="5"/>
        <v>0</v>
      </c>
      <c r="P29" s="530">
        <f t="shared" si="6"/>
        <v>0</v>
      </c>
      <c r="S29" s="538" t="s">
        <v>643</v>
      </c>
      <c r="T29" s="543" t="s">
        <v>880</v>
      </c>
      <c r="U29" s="544">
        <f>IFERROR(ROUND((SUM(U22:U28)*HLOOKUP('1.G.Data'!G1,Info!$B$5:$C$8,4,FALSE)),2),0)</f>
        <v>0</v>
      </c>
      <c r="V29" s="544">
        <f>IFERROR(ROUND((SUM(V22:V28)*HLOOKUP('1.G.Data'!G1,Info!$B$5:$C$8,4,FALSE)),2),0)</f>
        <v>0</v>
      </c>
      <c r="W29" s="544">
        <f>IFERROR(ROUND((SUM(W22:W28)*HLOOKUP('1.G.Data'!G1,Info!$B$5:$C$8,4,FALSE)),2),0)</f>
        <v>0</v>
      </c>
      <c r="X29" s="544">
        <f>IFERROR(ROUND((SUM(X22:X28)*HLOOKUP('1.G.Data'!G1,Info!$B$5:$C$8,4,FALSE)),2),0)</f>
        <v>0</v>
      </c>
      <c r="Y29" s="544">
        <f>IFERROR(ROUND((SUM(Y22:Y28)*HLOOKUP('1.G.Data'!G1,Info!$B$5:$C$8,4,FALSE)),2),0)</f>
        <v>0</v>
      </c>
      <c r="Z29" s="544">
        <f>IFERROR(ROUND((SUM(Z22:Z28)*HLOOKUP('1.G.Data'!G1,Info!$B$5:$C$8,4,FALSE)),2),0)</f>
        <v>0</v>
      </c>
      <c r="AA29" s="544">
        <f>IFERROR(ROUND((SUM(AA22:AA28)*HLOOKUP('1.G.Data'!G1,Info!$B$5:$C$8,4,FALSE)),2),0)</f>
        <v>0</v>
      </c>
      <c r="AB29" s="544">
        <f>IFERROR(ROUND((SUM(AB22:AB28)*HLOOKUP('1.G.Data'!G1,Info!$B$5:$C$8,4,FALSE)),2),0)</f>
        <v>0</v>
      </c>
      <c r="AC29" s="544">
        <f>IFERROR(ROUND((SUM(AC22:AC28)*HLOOKUP('1.G.Data'!G1,Info!$B$5:$C$8,4,FALSE)),2),0)</f>
        <v>0</v>
      </c>
      <c r="AD29" s="544">
        <f>IFERROR(ROUND((SUM(AD22:AD28)*HLOOKUP('1.G.Data'!G1,Info!$B$5:$C$8,4,FALSE)),2),0)</f>
        <v>0</v>
      </c>
      <c r="AE29" s="544">
        <f>IFERROR(ROUND((SUM(AE22:AE28)*HLOOKUP('1.G.Data'!G1,Info!$B$5:$C$8,4,FALSE)),2),0)</f>
        <v>0</v>
      </c>
      <c r="AF29" s="544">
        <f t="shared" si="15"/>
        <v>0</v>
      </c>
      <c r="AG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row>
    <row r="30" spans="1:64">
      <c r="A30" s="527" t="s">
        <v>702</v>
      </c>
      <c r="B30" s="527" t="s">
        <v>820</v>
      </c>
      <c r="C30" s="527" t="s">
        <v>20</v>
      </c>
      <c r="D30" s="527" t="s">
        <v>0</v>
      </c>
      <c r="E30" s="525" t="s">
        <v>39</v>
      </c>
      <c r="F30" s="526">
        <f>IFERROR(HLOOKUP(C30,'4.Team'!$CI$33:$DB$47,VLOOKUP(A30,$A$705:$B$714,2,FALSE),FALSE),0)</f>
        <v>0</v>
      </c>
      <c r="G30" s="526">
        <f t="shared" si="1"/>
        <v>0</v>
      </c>
      <c r="H30" s="525">
        <f>IFERROR(VLOOKUP($B30,'3.Tasks'!$BK$4:$BO$23,2,FALSE),0)</f>
        <v>0</v>
      </c>
      <c r="I30" s="529">
        <f t="shared" si="2"/>
        <v>0</v>
      </c>
      <c r="J30" s="529">
        <f>IFERROR(VLOOKUP($B30,'3.Tasks'!$BK$4:$BO$23,3,FALSE),0)</f>
        <v>0</v>
      </c>
      <c r="K30" s="529">
        <f t="shared" si="3"/>
        <v>0</v>
      </c>
      <c r="L30" s="529">
        <f>IFERROR(VLOOKUP($B30,'3.Tasks'!$BK$4:$BO$23,4,FALSE),0)</f>
        <v>0</v>
      </c>
      <c r="M30" s="529">
        <f t="shared" si="4"/>
        <v>0</v>
      </c>
      <c r="N30" s="529">
        <f>IFERROR(VLOOKUP($B30,'3.Tasks'!$BK$4:$BO$23,5,FALSE),0)</f>
        <v>0</v>
      </c>
      <c r="O30" s="529">
        <f t="shared" si="5"/>
        <v>0</v>
      </c>
      <c r="P30" s="530">
        <f t="shared" si="6"/>
        <v>0</v>
      </c>
      <c r="S30" s="548"/>
      <c r="T30" s="549" t="s">
        <v>47</v>
      </c>
      <c r="U30" s="550">
        <f t="shared" si="14"/>
        <v>0</v>
      </c>
      <c r="V30" s="550">
        <f t="shared" si="13"/>
        <v>0</v>
      </c>
      <c r="W30" s="550">
        <f t="shared" si="13"/>
        <v>0</v>
      </c>
      <c r="X30" s="550">
        <f t="shared" si="13"/>
        <v>0</v>
      </c>
      <c r="Y30" s="550">
        <f t="shared" si="13"/>
        <v>0</v>
      </c>
      <c r="Z30" s="550">
        <f t="shared" si="13"/>
        <v>0</v>
      </c>
      <c r="AA30" s="550">
        <f t="shared" si="13"/>
        <v>0</v>
      </c>
      <c r="AB30" s="550">
        <f t="shared" si="13"/>
        <v>0</v>
      </c>
      <c r="AC30" s="550">
        <f t="shared" si="13"/>
        <v>0</v>
      </c>
      <c r="AD30" s="550">
        <f t="shared" si="13"/>
        <v>0</v>
      </c>
      <c r="AE30" s="550">
        <f>SUMIFS($F:$F,$E:$E,$T30,$D:$D,AE$21)</f>
        <v>0</v>
      </c>
      <c r="AF30" s="550">
        <f t="shared" si="15"/>
        <v>0</v>
      </c>
      <c r="AG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row>
    <row r="31" spans="1:64">
      <c r="A31" s="527" t="s">
        <v>703</v>
      </c>
      <c r="B31" s="527" t="s">
        <v>820</v>
      </c>
      <c r="C31" s="527" t="s">
        <v>20</v>
      </c>
      <c r="D31" s="527" t="s">
        <v>0</v>
      </c>
      <c r="E31" s="525" t="s">
        <v>39</v>
      </c>
      <c r="F31" s="526">
        <f>IFERROR(HLOOKUP(C31,'4.Team'!$CI$33:$DB$47,VLOOKUP(A31,$A$705:$B$714,2,FALSE),FALSE),0)</f>
        <v>0</v>
      </c>
      <c r="G31" s="526">
        <f t="shared" si="1"/>
        <v>0</v>
      </c>
      <c r="H31" s="525">
        <f>IFERROR(VLOOKUP($B31,'3.Tasks'!$BK$4:$BO$23,2,FALSE),0)</f>
        <v>0</v>
      </c>
      <c r="I31" s="529">
        <f t="shared" si="2"/>
        <v>0</v>
      </c>
      <c r="J31" s="529">
        <f>IFERROR(VLOOKUP($B31,'3.Tasks'!$BK$4:$BO$23,3,FALSE),0)</f>
        <v>0</v>
      </c>
      <c r="K31" s="529">
        <f t="shared" si="3"/>
        <v>0</v>
      </c>
      <c r="L31" s="529">
        <f>IFERROR(VLOOKUP($B31,'3.Tasks'!$BK$4:$BO$23,4,FALSE),0)</f>
        <v>0</v>
      </c>
      <c r="M31" s="529">
        <f t="shared" si="4"/>
        <v>0</v>
      </c>
      <c r="N31" s="529">
        <f>IFERROR(VLOOKUP($B31,'3.Tasks'!$BK$4:$BO$23,5,FALSE),0)</f>
        <v>0</v>
      </c>
      <c r="O31" s="529">
        <f t="shared" si="5"/>
        <v>0</v>
      </c>
      <c r="P31" s="530">
        <f t="shared" si="6"/>
        <v>0</v>
      </c>
      <c r="S31" s="545"/>
      <c r="T31" s="546" t="s">
        <v>45</v>
      </c>
      <c r="U31" s="547">
        <f>SUM(U22:U30)</f>
        <v>0</v>
      </c>
      <c r="V31" s="547">
        <f t="shared" ref="V31:AE31" si="16">SUM(V22:V30)</f>
        <v>0</v>
      </c>
      <c r="W31" s="547">
        <f t="shared" si="16"/>
        <v>0</v>
      </c>
      <c r="X31" s="547">
        <f t="shared" si="16"/>
        <v>0</v>
      </c>
      <c r="Y31" s="547">
        <f t="shared" si="16"/>
        <v>0</v>
      </c>
      <c r="Z31" s="547">
        <f t="shared" si="16"/>
        <v>0</v>
      </c>
      <c r="AA31" s="547">
        <f t="shared" si="16"/>
        <v>0</v>
      </c>
      <c r="AB31" s="547">
        <f t="shared" si="16"/>
        <v>0</v>
      </c>
      <c r="AC31" s="547">
        <f t="shared" si="16"/>
        <v>0</v>
      </c>
      <c r="AD31" s="547">
        <f t="shared" si="16"/>
        <v>0</v>
      </c>
      <c r="AE31" s="547">
        <f t="shared" si="16"/>
        <v>0</v>
      </c>
      <c r="AF31" s="547">
        <f t="shared" si="15"/>
        <v>0</v>
      </c>
      <c r="AG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row>
    <row r="32" spans="1:64">
      <c r="A32" s="527" t="s">
        <v>694</v>
      </c>
      <c r="B32" s="527" t="s">
        <v>821</v>
      </c>
      <c r="C32" s="527" t="s">
        <v>21</v>
      </c>
      <c r="D32" s="527" t="s">
        <v>0</v>
      </c>
      <c r="E32" s="525" t="s">
        <v>39</v>
      </c>
      <c r="F32" s="526">
        <f>IFERROR(HLOOKUP(C32,'4.Team'!$CI$33:$DB$47,VLOOKUP(A32,$A$705:$B$714,2,FALSE),FALSE),0)</f>
        <v>0</v>
      </c>
      <c r="G32" s="526">
        <f t="shared" si="1"/>
        <v>0</v>
      </c>
      <c r="H32" s="525">
        <f>IFERROR(VLOOKUP($B32,'3.Tasks'!$BK$4:$BO$23,2,FALSE),0)</f>
        <v>0</v>
      </c>
      <c r="I32" s="529">
        <f t="shared" si="2"/>
        <v>0</v>
      </c>
      <c r="J32" s="529">
        <f>IFERROR(VLOOKUP($B32,'3.Tasks'!$BK$4:$BO$23,3,FALSE),0)</f>
        <v>0</v>
      </c>
      <c r="K32" s="529">
        <f t="shared" si="3"/>
        <v>0</v>
      </c>
      <c r="L32" s="529">
        <f>IFERROR(VLOOKUP($B32,'3.Tasks'!$BK$4:$BO$23,4,FALSE),0)</f>
        <v>0</v>
      </c>
      <c r="M32" s="529">
        <f t="shared" si="4"/>
        <v>0</v>
      </c>
      <c r="N32" s="529">
        <f>IFERROR(VLOOKUP($B32,'3.Tasks'!$BK$4:$BO$23,5,FALSE),0)</f>
        <v>0</v>
      </c>
      <c r="O32" s="529">
        <f t="shared" si="5"/>
        <v>0</v>
      </c>
      <c r="P32" s="530">
        <f t="shared" si="6"/>
        <v>0</v>
      </c>
      <c r="AG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row>
    <row r="33" spans="1:64">
      <c r="A33" s="527" t="s">
        <v>695</v>
      </c>
      <c r="B33" s="527" t="s">
        <v>821</v>
      </c>
      <c r="C33" s="527" t="s">
        <v>21</v>
      </c>
      <c r="D33" s="527" t="s">
        <v>0</v>
      </c>
      <c r="E33" s="525" t="s">
        <v>39</v>
      </c>
      <c r="F33" s="526">
        <f>IFERROR(HLOOKUP(C33,'4.Team'!$CI$33:$DB$47,VLOOKUP(A33,$A$705:$B$714,2,FALSE),FALSE),0)</f>
        <v>0</v>
      </c>
      <c r="G33" s="526">
        <f t="shared" si="1"/>
        <v>0</v>
      </c>
      <c r="H33" s="525">
        <f>IFERROR(VLOOKUP($B33,'3.Tasks'!$BK$4:$BO$23,2,FALSE),0)</f>
        <v>0</v>
      </c>
      <c r="I33" s="529">
        <f t="shared" si="2"/>
        <v>0</v>
      </c>
      <c r="J33" s="529">
        <f>IFERROR(VLOOKUP($B33,'3.Tasks'!$BK$4:$BO$23,3,FALSE),0)</f>
        <v>0</v>
      </c>
      <c r="K33" s="529">
        <f t="shared" si="3"/>
        <v>0</v>
      </c>
      <c r="L33" s="529">
        <f>IFERROR(VLOOKUP($B33,'3.Tasks'!$BK$4:$BO$23,4,FALSE),0)</f>
        <v>0</v>
      </c>
      <c r="M33" s="529">
        <f t="shared" si="4"/>
        <v>0</v>
      </c>
      <c r="N33" s="529">
        <f>IFERROR(VLOOKUP($B33,'3.Tasks'!$BK$4:$BO$23,5,FALSE),0)</f>
        <v>0</v>
      </c>
      <c r="O33" s="529">
        <f t="shared" si="5"/>
        <v>0</v>
      </c>
      <c r="P33" s="530">
        <f t="shared" si="6"/>
        <v>0</v>
      </c>
      <c r="S33" s="819" t="s">
        <v>1009</v>
      </c>
      <c r="T33" s="819"/>
      <c r="U33" s="551">
        <f>IFERROR(HLOOKUP('1.G.Data'!G1,Info!B5:C8,2,FALSE),0)</f>
        <v>0</v>
      </c>
      <c r="W33" s="820" t="s">
        <v>997</v>
      </c>
      <c r="X33" s="821"/>
      <c r="Y33" s="821"/>
      <c r="Z33" s="822"/>
      <c r="AA33" s="551">
        <f>U33*0.1</f>
        <v>0</v>
      </c>
      <c r="AB33" s="823" t="str">
        <f>IF(AF27&gt;AA33,AI21,"")</f>
        <v/>
      </c>
      <c r="AC33" s="823"/>
      <c r="AD33" s="823"/>
      <c r="AE33" s="823"/>
      <c r="AF33" s="823"/>
      <c r="AG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row>
    <row r="34" spans="1:64">
      <c r="A34" s="527" t="s">
        <v>696</v>
      </c>
      <c r="B34" s="527" t="s">
        <v>821</v>
      </c>
      <c r="C34" s="527" t="s">
        <v>21</v>
      </c>
      <c r="D34" s="527" t="s">
        <v>0</v>
      </c>
      <c r="E34" s="525" t="s">
        <v>39</v>
      </c>
      <c r="F34" s="526">
        <f>IFERROR(HLOOKUP(C34,'4.Team'!$CI$33:$DB$47,VLOOKUP(A34,$A$705:$B$714,2,FALSE),FALSE),0)</f>
        <v>0</v>
      </c>
      <c r="G34" s="526">
        <f t="shared" si="1"/>
        <v>0</v>
      </c>
      <c r="H34" s="525">
        <f>IFERROR(VLOOKUP($B34,'3.Tasks'!$BK$4:$BO$23,2,FALSE),0)</f>
        <v>0</v>
      </c>
      <c r="I34" s="529">
        <f t="shared" si="2"/>
        <v>0</v>
      </c>
      <c r="J34" s="529">
        <f>IFERROR(VLOOKUP($B34,'3.Tasks'!$BK$4:$BO$23,3,FALSE),0)</f>
        <v>0</v>
      </c>
      <c r="K34" s="529">
        <f t="shared" si="3"/>
        <v>0</v>
      </c>
      <c r="L34" s="529">
        <f>IFERROR(VLOOKUP($B34,'3.Tasks'!$BK$4:$BO$23,4,FALSE),0)</f>
        <v>0</v>
      </c>
      <c r="M34" s="529">
        <f t="shared" si="4"/>
        <v>0</v>
      </c>
      <c r="N34" s="529">
        <f>IFERROR(VLOOKUP($B34,'3.Tasks'!$BK$4:$BO$23,5,FALSE),0)</f>
        <v>0</v>
      </c>
      <c r="O34" s="529">
        <f t="shared" si="5"/>
        <v>0</v>
      </c>
      <c r="P34" s="530">
        <f t="shared" si="6"/>
        <v>0</v>
      </c>
      <c r="S34" s="819" t="s">
        <v>912</v>
      </c>
      <c r="T34" s="819"/>
      <c r="U34" s="551">
        <f ca="1">IFERROR(+'6.Other Exp. Categories'!W26,0)</f>
        <v>0</v>
      </c>
      <c r="AB34" s="823"/>
      <c r="AC34" s="823"/>
      <c r="AD34" s="823"/>
      <c r="AE34" s="823"/>
      <c r="AF34" s="823"/>
      <c r="AG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row>
    <row r="35" spans="1:64">
      <c r="A35" s="527" t="s">
        <v>697</v>
      </c>
      <c r="B35" s="527" t="s">
        <v>821</v>
      </c>
      <c r="C35" s="527" t="s">
        <v>21</v>
      </c>
      <c r="D35" s="527" t="s">
        <v>0</v>
      </c>
      <c r="E35" s="525" t="s">
        <v>39</v>
      </c>
      <c r="F35" s="526">
        <f>IFERROR(HLOOKUP(C35,'4.Team'!$CI$33:$DB$47,VLOOKUP(A35,$A$705:$B$714,2,FALSE),FALSE),0)</f>
        <v>0</v>
      </c>
      <c r="G35" s="526">
        <f t="shared" si="1"/>
        <v>0</v>
      </c>
      <c r="H35" s="525">
        <f>IFERROR(VLOOKUP($B35,'3.Tasks'!$BK$4:$BO$23,2,FALSE),0)</f>
        <v>0</v>
      </c>
      <c r="I35" s="529">
        <f t="shared" si="2"/>
        <v>0</v>
      </c>
      <c r="J35" s="529">
        <f>IFERROR(VLOOKUP($B35,'3.Tasks'!$BK$4:$BO$23,3,FALSE),0)</f>
        <v>0</v>
      </c>
      <c r="K35" s="529">
        <f t="shared" si="3"/>
        <v>0</v>
      </c>
      <c r="L35" s="529">
        <f>IFERROR(VLOOKUP($B35,'3.Tasks'!$BK$4:$BO$23,4,FALSE),0)</f>
        <v>0</v>
      </c>
      <c r="M35" s="529">
        <f t="shared" si="4"/>
        <v>0</v>
      </c>
      <c r="N35" s="529">
        <f>IFERROR(VLOOKUP($B35,'3.Tasks'!$BK$4:$BO$23,5,FALSE),0)</f>
        <v>0</v>
      </c>
      <c r="O35" s="529">
        <f t="shared" si="5"/>
        <v>0</v>
      </c>
      <c r="P35" s="530">
        <f t="shared" si="6"/>
        <v>0</v>
      </c>
      <c r="S35" s="819" t="s">
        <v>930</v>
      </c>
      <c r="T35" s="819"/>
      <c r="U35" s="551">
        <f ca="1">IFERROR((U34/(1+U36)),0)</f>
        <v>0</v>
      </c>
      <c r="V35" s="823" t="str">
        <f>IF(AF31&gt;U33,AI24,"")</f>
        <v/>
      </c>
      <c r="W35" s="823"/>
      <c r="X35" s="823"/>
      <c r="Y35" s="823"/>
      <c r="Z35" s="823"/>
      <c r="AB35" s="160"/>
      <c r="AC35" s="160"/>
      <c r="AD35" s="160"/>
      <c r="AE35" s="160"/>
      <c r="AF35" s="160"/>
      <c r="AG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64">
      <c r="A36" s="527" t="s">
        <v>698</v>
      </c>
      <c r="B36" s="527" t="s">
        <v>821</v>
      </c>
      <c r="C36" s="527" t="s">
        <v>21</v>
      </c>
      <c r="D36" s="527" t="s">
        <v>0</v>
      </c>
      <c r="E36" s="525" t="s">
        <v>39</v>
      </c>
      <c r="F36" s="526">
        <f>IFERROR(HLOOKUP(C36,'4.Team'!$CI$33:$DB$47,VLOOKUP(A36,$A$705:$B$714,2,FALSE),FALSE),0)</f>
        <v>0</v>
      </c>
      <c r="G36" s="526">
        <f t="shared" si="1"/>
        <v>0</v>
      </c>
      <c r="H36" s="525">
        <f>IFERROR(VLOOKUP($B36,'3.Tasks'!$BK$4:$BO$23,2,FALSE),0)</f>
        <v>0</v>
      </c>
      <c r="I36" s="529">
        <f t="shared" si="2"/>
        <v>0</v>
      </c>
      <c r="J36" s="529">
        <f>IFERROR(VLOOKUP($B36,'3.Tasks'!$BK$4:$BO$23,3,FALSE),0)</f>
        <v>0</v>
      </c>
      <c r="K36" s="529">
        <f t="shared" si="3"/>
        <v>0</v>
      </c>
      <c r="L36" s="529">
        <f>IFERROR(VLOOKUP($B36,'3.Tasks'!$BK$4:$BO$23,4,FALSE),0)</f>
        <v>0</v>
      </c>
      <c r="M36" s="529">
        <f t="shared" si="4"/>
        <v>0</v>
      </c>
      <c r="N36" s="529">
        <f>IFERROR(VLOOKUP($B36,'3.Tasks'!$BK$4:$BO$23,5,FALSE),0)</f>
        <v>0</v>
      </c>
      <c r="O36" s="529">
        <f t="shared" si="5"/>
        <v>0</v>
      </c>
      <c r="P36" s="530">
        <f t="shared" si="6"/>
        <v>0</v>
      </c>
      <c r="S36" s="819" t="s">
        <v>993</v>
      </c>
      <c r="T36" s="819"/>
      <c r="U36" s="553">
        <f>IFERROR(HLOOKUP('1.G.Data'!G1,Info!B5:C8,4,FALSE),0)</f>
        <v>0</v>
      </c>
      <c r="V36" s="823"/>
      <c r="W36" s="823"/>
      <c r="X36" s="823"/>
      <c r="Y36" s="823"/>
      <c r="Z36" s="823"/>
      <c r="AG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row>
    <row r="37" spans="1:64">
      <c r="A37" s="527" t="s">
        <v>699</v>
      </c>
      <c r="B37" s="527" t="s">
        <v>821</v>
      </c>
      <c r="C37" s="527" t="s">
        <v>21</v>
      </c>
      <c r="D37" s="527" t="s">
        <v>0</v>
      </c>
      <c r="E37" s="525" t="s">
        <v>39</v>
      </c>
      <c r="F37" s="526">
        <f>IFERROR(HLOOKUP(C37,'4.Team'!$CI$33:$DB$47,VLOOKUP(A37,$A$705:$B$714,2,FALSE),FALSE),0)</f>
        <v>0</v>
      </c>
      <c r="G37" s="526">
        <f t="shared" si="1"/>
        <v>0</v>
      </c>
      <c r="H37" s="525">
        <f>IFERROR(VLOOKUP($B37,'3.Tasks'!$BK$4:$BO$23,2,FALSE),0)</f>
        <v>0</v>
      </c>
      <c r="I37" s="529">
        <f t="shared" si="2"/>
        <v>0</v>
      </c>
      <c r="J37" s="529">
        <f>IFERROR(VLOOKUP($B37,'3.Tasks'!$BK$4:$BO$23,3,FALSE),0)</f>
        <v>0</v>
      </c>
      <c r="K37" s="529">
        <f t="shared" si="3"/>
        <v>0</v>
      </c>
      <c r="L37" s="529">
        <f>IFERROR(VLOOKUP($B37,'3.Tasks'!$BK$4:$BO$23,4,FALSE),0)</f>
        <v>0</v>
      </c>
      <c r="M37" s="529">
        <f t="shared" si="4"/>
        <v>0</v>
      </c>
      <c r="N37" s="529">
        <f>IFERROR(VLOOKUP($B37,'3.Tasks'!$BK$4:$BO$23,5,FALSE),0)</f>
        <v>0</v>
      </c>
      <c r="O37" s="529">
        <f t="shared" si="5"/>
        <v>0</v>
      </c>
      <c r="P37" s="530">
        <f t="shared" si="6"/>
        <v>0</v>
      </c>
      <c r="Q37" s="169" t="s">
        <v>0</v>
      </c>
      <c r="W37" s="820" t="s">
        <v>1055</v>
      </c>
      <c r="X37" s="821"/>
      <c r="Y37" s="821"/>
      <c r="Z37" s="822"/>
      <c r="AA37" s="551">
        <f>+F702</f>
        <v>0</v>
      </c>
      <c r="AB37" s="833" t="str">
        <f>IF(AA39&gt;0.01,AI22,IF(AA39&lt;-0.01,AI22,""))</f>
        <v/>
      </c>
      <c r="AC37" s="823"/>
      <c r="AD37" s="823"/>
      <c r="AE37" s="823"/>
      <c r="AF37" s="823"/>
      <c r="AG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row>
    <row r="38" spans="1:64">
      <c r="A38" s="527" t="s">
        <v>700</v>
      </c>
      <c r="B38" s="527" t="s">
        <v>821</v>
      </c>
      <c r="C38" s="527" t="s">
        <v>21</v>
      </c>
      <c r="D38" s="527" t="s">
        <v>0</v>
      </c>
      <c r="E38" s="525" t="s">
        <v>39</v>
      </c>
      <c r="F38" s="526">
        <f>IFERROR(HLOOKUP(C38,'4.Team'!$CI$33:$DB$47,VLOOKUP(A38,$A$705:$B$714,2,FALSE),FALSE),0)</f>
        <v>0</v>
      </c>
      <c r="G38" s="526">
        <f t="shared" si="1"/>
        <v>0</v>
      </c>
      <c r="H38" s="525">
        <f>IFERROR(VLOOKUP($B38,'3.Tasks'!$BK$4:$BO$23,2,FALSE),0)</f>
        <v>0</v>
      </c>
      <c r="I38" s="529">
        <f t="shared" si="2"/>
        <v>0</v>
      </c>
      <c r="J38" s="529">
        <f>IFERROR(VLOOKUP($B38,'3.Tasks'!$BK$4:$BO$23,3,FALSE),0)</f>
        <v>0</v>
      </c>
      <c r="K38" s="529">
        <f t="shared" si="3"/>
        <v>0</v>
      </c>
      <c r="L38" s="529">
        <f>IFERROR(VLOOKUP($B38,'3.Tasks'!$BK$4:$BO$23,4,FALSE),0)</f>
        <v>0</v>
      </c>
      <c r="M38" s="529">
        <f t="shared" si="4"/>
        <v>0</v>
      </c>
      <c r="N38" s="529">
        <f>IFERROR(VLOOKUP($B38,'3.Tasks'!$BK$4:$BO$23,5,FALSE),0)</f>
        <v>0</v>
      </c>
      <c r="O38" s="529">
        <f t="shared" si="5"/>
        <v>0</v>
      </c>
      <c r="P38" s="530">
        <f t="shared" si="6"/>
        <v>0</v>
      </c>
      <c r="Q38" s="560">
        <v>0.25</v>
      </c>
      <c r="S38" s="819" t="s">
        <v>934</v>
      </c>
      <c r="T38" s="819"/>
      <c r="U38" s="551">
        <f>IF(U36=Q38,(HLOOKUP(Q37,U21:AF29,9,FALSE))*0.2,0)</f>
        <v>0</v>
      </c>
      <c r="W38" s="820" t="s">
        <v>999</v>
      </c>
      <c r="X38" s="821"/>
      <c r="Y38" s="821"/>
      <c r="Z38" s="822"/>
      <c r="AA38" s="551">
        <f>+AF65/(1+U36)</f>
        <v>0</v>
      </c>
      <c r="AB38" s="833"/>
      <c r="AC38" s="823"/>
      <c r="AD38" s="823"/>
      <c r="AE38" s="823"/>
      <c r="AF38" s="823"/>
      <c r="AG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row>
    <row r="39" spans="1:64">
      <c r="A39" s="527" t="s">
        <v>701</v>
      </c>
      <c r="B39" s="527" t="s">
        <v>821</v>
      </c>
      <c r="C39" s="527" t="s">
        <v>21</v>
      </c>
      <c r="D39" s="527" t="s">
        <v>0</v>
      </c>
      <c r="E39" s="525" t="s">
        <v>39</v>
      </c>
      <c r="F39" s="526">
        <f>IFERROR(HLOOKUP(C39,'4.Team'!$CI$33:$DB$47,VLOOKUP(A39,$A$705:$B$714,2,FALSE),FALSE),0)</f>
        <v>0</v>
      </c>
      <c r="G39" s="526">
        <f t="shared" si="1"/>
        <v>0</v>
      </c>
      <c r="H39" s="525">
        <f>IFERROR(VLOOKUP($B39,'3.Tasks'!$BK$4:$BO$23,2,FALSE),0)</f>
        <v>0</v>
      </c>
      <c r="I39" s="529">
        <f t="shared" si="2"/>
        <v>0</v>
      </c>
      <c r="J39" s="529">
        <f>IFERROR(VLOOKUP($B39,'3.Tasks'!$BK$4:$BO$23,3,FALSE),0)</f>
        <v>0</v>
      </c>
      <c r="K39" s="529">
        <f t="shared" si="3"/>
        <v>0</v>
      </c>
      <c r="L39" s="529">
        <f>IFERROR(VLOOKUP($B39,'3.Tasks'!$BK$4:$BO$23,4,FALSE),0)</f>
        <v>0</v>
      </c>
      <c r="M39" s="529">
        <f t="shared" si="4"/>
        <v>0</v>
      </c>
      <c r="N39" s="529">
        <f>IFERROR(VLOOKUP($B39,'3.Tasks'!$BK$4:$BO$23,5,FALSE),0)</f>
        <v>0</v>
      </c>
      <c r="O39" s="529">
        <f t="shared" si="5"/>
        <v>0</v>
      </c>
      <c r="P39" s="530">
        <f t="shared" si="6"/>
        <v>0</v>
      </c>
      <c r="S39" s="819" t="s">
        <v>889</v>
      </c>
      <c r="T39" s="819"/>
      <c r="U39" s="551">
        <f ca="1">IFERROR('6.Other Exp. Categories'!AG26,0)</f>
        <v>0</v>
      </c>
      <c r="W39" s="820" t="s">
        <v>888</v>
      </c>
      <c r="X39" s="821"/>
      <c r="Y39" s="821"/>
      <c r="Z39" s="822"/>
      <c r="AA39" s="551">
        <f>+AA37-AA38</f>
        <v>0</v>
      </c>
      <c r="AB39" s="833"/>
      <c r="AC39" s="823"/>
      <c r="AD39" s="823"/>
      <c r="AE39" s="823"/>
      <c r="AF39" s="823"/>
      <c r="AG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row>
    <row r="40" spans="1:64">
      <c r="A40" s="527" t="s">
        <v>702</v>
      </c>
      <c r="B40" s="527" t="s">
        <v>821</v>
      </c>
      <c r="C40" s="527" t="s">
        <v>21</v>
      </c>
      <c r="D40" s="527" t="s">
        <v>0</v>
      </c>
      <c r="E40" s="525" t="s">
        <v>39</v>
      </c>
      <c r="F40" s="526">
        <f>IFERROR(HLOOKUP(C40,'4.Team'!$CI$33:$DB$47,VLOOKUP(A40,$A$705:$B$714,2,FALSE),FALSE),0)</f>
        <v>0</v>
      </c>
      <c r="G40" s="526">
        <f t="shared" si="1"/>
        <v>0</v>
      </c>
      <c r="H40" s="525">
        <f>IFERROR(VLOOKUP($B40,'3.Tasks'!$BK$4:$BO$23,2,FALSE),0)</f>
        <v>0</v>
      </c>
      <c r="I40" s="529">
        <f t="shared" si="2"/>
        <v>0</v>
      </c>
      <c r="J40" s="529">
        <f>IFERROR(VLOOKUP($B40,'3.Tasks'!$BK$4:$BO$23,3,FALSE),0)</f>
        <v>0</v>
      </c>
      <c r="K40" s="529">
        <f t="shared" si="3"/>
        <v>0</v>
      </c>
      <c r="L40" s="529">
        <f>IFERROR(VLOOKUP($B40,'3.Tasks'!$BK$4:$BO$23,4,FALSE),0)</f>
        <v>0</v>
      </c>
      <c r="M40" s="529">
        <f t="shared" si="4"/>
        <v>0</v>
      </c>
      <c r="N40" s="529">
        <f>IFERROR(VLOOKUP($B40,'3.Tasks'!$BK$4:$BO$23,5,FALSE),0)</f>
        <v>0</v>
      </c>
      <c r="O40" s="529">
        <f t="shared" si="5"/>
        <v>0</v>
      </c>
      <c r="P40" s="530">
        <f t="shared" si="6"/>
        <v>0</v>
      </c>
      <c r="S40" s="819" t="s">
        <v>888</v>
      </c>
      <c r="T40" s="819"/>
      <c r="U40" s="551">
        <f ca="1">+U38-U39</f>
        <v>0</v>
      </c>
      <c r="V40" s="824" t="str">
        <f ca="1">IF(U40&lt;AO25,AI25,"")</f>
        <v/>
      </c>
      <c r="W40" s="825"/>
      <c r="X40" s="825"/>
      <c r="Y40" s="825"/>
      <c r="Z40" s="825"/>
      <c r="AA40" s="825"/>
      <c r="AB40" s="825"/>
      <c r="AG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row>
    <row r="41" spans="1:64">
      <c r="A41" s="527" t="s">
        <v>703</v>
      </c>
      <c r="B41" s="527" t="s">
        <v>821</v>
      </c>
      <c r="C41" s="527" t="s">
        <v>21</v>
      </c>
      <c r="D41" s="527" t="s">
        <v>0</v>
      </c>
      <c r="E41" s="525" t="s">
        <v>39</v>
      </c>
      <c r="F41" s="526">
        <f>IFERROR(HLOOKUP(C41,'4.Team'!$CI$33:$DB$47,VLOOKUP(A41,$A$705:$B$714,2,FALSE),FALSE),0)</f>
        <v>0</v>
      </c>
      <c r="G41" s="526">
        <f t="shared" si="1"/>
        <v>0</v>
      </c>
      <c r="H41" s="525">
        <f>IFERROR(VLOOKUP($B41,'3.Tasks'!$BK$4:$BO$23,2,FALSE),0)</f>
        <v>0</v>
      </c>
      <c r="I41" s="529">
        <f t="shared" si="2"/>
        <v>0</v>
      </c>
      <c r="J41" s="529">
        <f>IFERROR(VLOOKUP($B41,'3.Tasks'!$BK$4:$BO$23,3,FALSE),0)</f>
        <v>0</v>
      </c>
      <c r="K41" s="529">
        <f t="shared" si="3"/>
        <v>0</v>
      </c>
      <c r="L41" s="529">
        <f>IFERROR(VLOOKUP($B41,'3.Tasks'!$BK$4:$BO$23,4,FALSE),0)</f>
        <v>0</v>
      </c>
      <c r="M41" s="529">
        <f t="shared" si="4"/>
        <v>0</v>
      </c>
      <c r="N41" s="529">
        <f>IFERROR(VLOOKUP($B41,'3.Tasks'!$BK$4:$BO$23,5,FALSE),0)</f>
        <v>0</v>
      </c>
      <c r="O41" s="529">
        <f t="shared" si="5"/>
        <v>0</v>
      </c>
      <c r="P41" s="530">
        <f t="shared" si="6"/>
        <v>0</v>
      </c>
      <c r="S41" s="561" t="s">
        <v>935</v>
      </c>
      <c r="AG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row>
    <row r="42" spans="1:64">
      <c r="A42" s="527" t="s">
        <v>694</v>
      </c>
      <c r="B42" s="527" t="s">
        <v>822</v>
      </c>
      <c r="C42" s="527" t="s">
        <v>22</v>
      </c>
      <c r="D42" s="527" t="s">
        <v>0</v>
      </c>
      <c r="E42" s="525" t="s">
        <v>39</v>
      </c>
      <c r="F42" s="526">
        <f>IFERROR(HLOOKUP(C42,'4.Team'!$CI$33:$DB$47,VLOOKUP(A42,$A$705:$B$714,2,FALSE),FALSE),0)</f>
        <v>0</v>
      </c>
      <c r="G42" s="526">
        <f t="shared" si="1"/>
        <v>0</v>
      </c>
      <c r="H42" s="525">
        <f>IFERROR(VLOOKUP($B42,'3.Tasks'!$BK$4:$BO$23,2,FALSE),0)</f>
        <v>0</v>
      </c>
      <c r="I42" s="529">
        <f t="shared" si="2"/>
        <v>0</v>
      </c>
      <c r="J42" s="529">
        <f>IFERROR(VLOOKUP($B42,'3.Tasks'!$BK$4:$BO$23,3,FALSE),0)</f>
        <v>0</v>
      </c>
      <c r="K42" s="529">
        <f t="shared" si="3"/>
        <v>0</v>
      </c>
      <c r="L42" s="529">
        <f>IFERROR(VLOOKUP($B42,'3.Tasks'!$BK$4:$BO$23,4,FALSE),0)</f>
        <v>0</v>
      </c>
      <c r="M42" s="529">
        <f t="shared" si="4"/>
        <v>0</v>
      </c>
      <c r="N42" s="529">
        <f>IFERROR(VLOOKUP($B42,'3.Tasks'!$BK$4:$BO$23,5,FALSE),0)</f>
        <v>0</v>
      </c>
      <c r="O42" s="529">
        <f t="shared" si="5"/>
        <v>0</v>
      </c>
      <c r="P42" s="530">
        <f t="shared" si="6"/>
        <v>0</v>
      </c>
      <c r="AG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row>
    <row r="43" spans="1:64" ht="20.3">
      <c r="A43" s="527" t="s">
        <v>695</v>
      </c>
      <c r="B43" s="527" t="s">
        <v>822</v>
      </c>
      <c r="C43" s="527" t="s">
        <v>22</v>
      </c>
      <c r="D43" s="527" t="s">
        <v>0</v>
      </c>
      <c r="E43" s="525" t="s">
        <v>39</v>
      </c>
      <c r="F43" s="526">
        <f>IFERROR(HLOOKUP(C43,'4.Team'!$CI$33:$DB$47,VLOOKUP(A43,$A$705:$B$714,2,FALSE),FALSE),0)</f>
        <v>0</v>
      </c>
      <c r="G43" s="526">
        <f t="shared" si="1"/>
        <v>0</v>
      </c>
      <c r="H43" s="525">
        <f>IFERROR(VLOOKUP($B43,'3.Tasks'!$BK$4:$BO$23,2,FALSE),0)</f>
        <v>0</v>
      </c>
      <c r="I43" s="529">
        <f t="shared" si="2"/>
        <v>0</v>
      </c>
      <c r="J43" s="529">
        <f>IFERROR(VLOOKUP($B43,'3.Tasks'!$BK$4:$BO$23,3,FALSE),0)</f>
        <v>0</v>
      </c>
      <c r="K43" s="529">
        <f t="shared" si="3"/>
        <v>0</v>
      </c>
      <c r="L43" s="529">
        <f>IFERROR(VLOOKUP($B43,'3.Tasks'!$BK$4:$BO$23,4,FALSE),0)</f>
        <v>0</v>
      </c>
      <c r="M43" s="529">
        <f t="shared" si="4"/>
        <v>0</v>
      </c>
      <c r="N43" s="529">
        <f>IFERROR(VLOOKUP($B43,'3.Tasks'!$BK$4:$BO$23,5,FALSE),0)</f>
        <v>0</v>
      </c>
      <c r="O43" s="529">
        <f t="shared" si="5"/>
        <v>0</v>
      </c>
      <c r="P43" s="530">
        <f t="shared" si="6"/>
        <v>0</v>
      </c>
      <c r="S43" s="818" t="s">
        <v>994</v>
      </c>
      <c r="T43" s="818"/>
      <c r="U43" s="818"/>
      <c r="V43" s="818"/>
      <c r="W43" s="818"/>
      <c r="X43" s="818"/>
      <c r="Y43" s="818"/>
      <c r="Z43" s="818"/>
      <c r="AA43" s="818"/>
      <c r="AB43" s="818"/>
      <c r="AC43" s="818"/>
      <c r="AD43" s="818"/>
      <c r="AE43" s="818"/>
      <c r="AF43" s="818"/>
      <c r="AG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row>
    <row r="44" spans="1:64" ht="18.350000000000001">
      <c r="A44" s="527" t="s">
        <v>696</v>
      </c>
      <c r="B44" s="527" t="s">
        <v>822</v>
      </c>
      <c r="C44" s="527" t="s">
        <v>22</v>
      </c>
      <c r="D44" s="527" t="s">
        <v>0</v>
      </c>
      <c r="E44" s="525" t="s">
        <v>39</v>
      </c>
      <c r="F44" s="526">
        <f>IFERROR(HLOOKUP(C44,'4.Team'!$CI$33:$DB$47,VLOOKUP(A44,$A$705:$B$714,2,FALSE),FALSE),0)</f>
        <v>0</v>
      </c>
      <c r="G44" s="526">
        <f t="shared" si="1"/>
        <v>0</v>
      </c>
      <c r="H44" s="525">
        <f>IFERROR(VLOOKUP($B44,'3.Tasks'!$BK$4:$BO$23,2,FALSE),0)</f>
        <v>0</v>
      </c>
      <c r="I44" s="529">
        <f t="shared" si="2"/>
        <v>0</v>
      </c>
      <c r="J44" s="529">
        <f>IFERROR(VLOOKUP($B44,'3.Tasks'!$BK$4:$BO$23,3,FALSE),0)</f>
        <v>0</v>
      </c>
      <c r="K44" s="529">
        <f t="shared" si="3"/>
        <v>0</v>
      </c>
      <c r="L44" s="529">
        <f>IFERROR(VLOOKUP($B44,'3.Tasks'!$BK$4:$BO$23,4,FALSE),0)</f>
        <v>0</v>
      </c>
      <c r="M44" s="529">
        <f t="shared" si="4"/>
        <v>0</v>
      </c>
      <c r="N44" s="529">
        <f>IFERROR(VLOOKUP($B44,'3.Tasks'!$BK$4:$BO$23,5,FALSE),0)</f>
        <v>0</v>
      </c>
      <c r="O44" s="529">
        <f t="shared" si="5"/>
        <v>0</v>
      </c>
      <c r="P44" s="530">
        <f t="shared" si="6"/>
        <v>0</v>
      </c>
      <c r="S44" s="554" t="s">
        <v>995</v>
      </c>
      <c r="T44" s="554" t="s">
        <v>91</v>
      </c>
      <c r="U44" s="536" t="str">
        <f>+U21</f>
        <v/>
      </c>
      <c r="V44" s="536">
        <f t="shared" ref="V44:AF44" si="17">+V21</f>
        <v>0</v>
      </c>
      <c r="W44" s="536">
        <f t="shared" si="17"/>
        <v>0</v>
      </c>
      <c r="X44" s="536">
        <f t="shared" si="17"/>
        <v>0</v>
      </c>
      <c r="Y44" s="536">
        <f t="shared" si="17"/>
        <v>0</v>
      </c>
      <c r="Z44" s="536">
        <f t="shared" si="17"/>
        <v>0</v>
      </c>
      <c r="AA44" s="536">
        <f t="shared" si="17"/>
        <v>0</v>
      </c>
      <c r="AB44" s="536">
        <f t="shared" si="17"/>
        <v>0</v>
      </c>
      <c r="AC44" s="536">
        <f t="shared" si="17"/>
        <v>0</v>
      </c>
      <c r="AD44" s="536">
        <f t="shared" si="17"/>
        <v>0</v>
      </c>
      <c r="AE44" s="536">
        <f t="shared" si="17"/>
        <v>0</v>
      </c>
      <c r="AF44" s="536" t="str">
        <f t="shared" si="17"/>
        <v>Total</v>
      </c>
      <c r="AG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row>
    <row r="45" spans="1:64">
      <c r="A45" s="527" t="s">
        <v>697</v>
      </c>
      <c r="B45" s="527" t="s">
        <v>822</v>
      </c>
      <c r="C45" s="527" t="s">
        <v>22</v>
      </c>
      <c r="D45" s="527" t="s">
        <v>0</v>
      </c>
      <c r="E45" s="525" t="s">
        <v>39</v>
      </c>
      <c r="F45" s="526">
        <f>IFERROR(HLOOKUP(C45,'4.Team'!$CI$33:$DB$47,VLOOKUP(A45,$A$705:$B$714,2,FALSE),FALSE),0)</f>
        <v>0</v>
      </c>
      <c r="G45" s="526">
        <f t="shared" si="1"/>
        <v>0</v>
      </c>
      <c r="H45" s="525">
        <f>IFERROR(VLOOKUP($B45,'3.Tasks'!$BK$4:$BO$23,2,FALSE),0)</f>
        <v>0</v>
      </c>
      <c r="I45" s="529">
        <f t="shared" si="2"/>
        <v>0</v>
      </c>
      <c r="J45" s="529">
        <f>IFERROR(VLOOKUP($B45,'3.Tasks'!$BK$4:$BO$23,3,FALSE),0)</f>
        <v>0</v>
      </c>
      <c r="K45" s="529">
        <f t="shared" si="3"/>
        <v>0</v>
      </c>
      <c r="L45" s="529">
        <f>IFERROR(VLOOKUP($B45,'3.Tasks'!$BK$4:$BO$23,4,FALSE),0)</f>
        <v>0</v>
      </c>
      <c r="M45" s="529">
        <f t="shared" si="4"/>
        <v>0</v>
      </c>
      <c r="N45" s="529">
        <f>IFERROR(VLOOKUP($B45,'3.Tasks'!$BK$4:$BO$23,5,FALSE),0)</f>
        <v>0</v>
      </c>
      <c r="O45" s="529">
        <f t="shared" si="5"/>
        <v>0</v>
      </c>
      <c r="P45" s="530">
        <f t="shared" si="6"/>
        <v>0</v>
      </c>
      <c r="S45" s="558">
        <f>+'3.Tasks'!C4</f>
        <v>0</v>
      </c>
      <c r="T45" s="543" t="s">
        <v>818</v>
      </c>
      <c r="U45" s="539">
        <f>IFERROR(SUMIFS($F:$F,$B:$B,$T45,$D:$D,U$44)*(1+$U$36),0)</f>
        <v>0</v>
      </c>
      <c r="V45" s="539">
        <f t="shared" ref="V45:AE45" si="18">IFERROR(SUMIFS($F:$F,$B:$B,$T45,$D:$D,V$44)*(1+$U$36),0)</f>
        <v>0</v>
      </c>
      <c r="W45" s="539">
        <f t="shared" si="18"/>
        <v>0</v>
      </c>
      <c r="X45" s="539">
        <f t="shared" si="18"/>
        <v>0</v>
      </c>
      <c r="Y45" s="539">
        <f t="shared" si="18"/>
        <v>0</v>
      </c>
      <c r="Z45" s="539">
        <f t="shared" si="18"/>
        <v>0</v>
      </c>
      <c r="AA45" s="539">
        <f t="shared" si="18"/>
        <v>0</v>
      </c>
      <c r="AB45" s="539">
        <f t="shared" si="18"/>
        <v>0</v>
      </c>
      <c r="AC45" s="539">
        <f t="shared" si="18"/>
        <v>0</v>
      </c>
      <c r="AD45" s="539">
        <f t="shared" si="18"/>
        <v>0</v>
      </c>
      <c r="AE45" s="539">
        <f t="shared" si="18"/>
        <v>0</v>
      </c>
      <c r="AF45" s="539">
        <f>SUM(U45:AE45)</f>
        <v>0</v>
      </c>
      <c r="AG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row>
    <row r="46" spans="1:64">
      <c r="A46" s="527" t="s">
        <v>698</v>
      </c>
      <c r="B46" s="527" t="s">
        <v>822</v>
      </c>
      <c r="C46" s="527" t="s">
        <v>22</v>
      </c>
      <c r="D46" s="527" t="s">
        <v>0</v>
      </c>
      <c r="E46" s="525" t="s">
        <v>39</v>
      </c>
      <c r="F46" s="526">
        <f>IFERROR(HLOOKUP(C46,'4.Team'!$CI$33:$DB$47,VLOOKUP(A46,$A$705:$B$714,2,FALSE),FALSE),0)</f>
        <v>0</v>
      </c>
      <c r="G46" s="526">
        <f t="shared" si="1"/>
        <v>0</v>
      </c>
      <c r="H46" s="525">
        <f>IFERROR(VLOOKUP($B46,'3.Tasks'!$BK$4:$BO$23,2,FALSE),0)</f>
        <v>0</v>
      </c>
      <c r="I46" s="529">
        <f t="shared" si="2"/>
        <v>0</v>
      </c>
      <c r="J46" s="529">
        <f>IFERROR(VLOOKUP($B46,'3.Tasks'!$BK$4:$BO$23,3,FALSE),0)</f>
        <v>0</v>
      </c>
      <c r="K46" s="529">
        <f t="shared" si="3"/>
        <v>0</v>
      </c>
      <c r="L46" s="529">
        <f>IFERROR(VLOOKUP($B46,'3.Tasks'!$BK$4:$BO$23,4,FALSE),0)</f>
        <v>0</v>
      </c>
      <c r="M46" s="529">
        <f t="shared" si="4"/>
        <v>0</v>
      </c>
      <c r="N46" s="529">
        <f>IFERROR(VLOOKUP($B46,'3.Tasks'!$BK$4:$BO$23,5,FALSE),0)</f>
        <v>0</v>
      </c>
      <c r="O46" s="529">
        <f t="shared" si="5"/>
        <v>0</v>
      </c>
      <c r="P46" s="530">
        <f t="shared" si="6"/>
        <v>0</v>
      </c>
      <c r="S46" s="558">
        <f>+'3.Tasks'!C5</f>
        <v>0</v>
      </c>
      <c r="T46" s="543" t="s">
        <v>819</v>
      </c>
      <c r="U46" s="539">
        <f t="shared" ref="U46:AE64" si="19">IFERROR(SUMIFS($F:$F,$B:$B,$T46,$D:$D,U$44)*(1+$U$36),0)</f>
        <v>0</v>
      </c>
      <c r="V46" s="539">
        <f t="shared" si="19"/>
        <v>0</v>
      </c>
      <c r="W46" s="539">
        <f t="shared" si="19"/>
        <v>0</v>
      </c>
      <c r="X46" s="539">
        <f t="shared" si="19"/>
        <v>0</v>
      </c>
      <c r="Y46" s="539">
        <f t="shared" si="19"/>
        <v>0</v>
      </c>
      <c r="Z46" s="539">
        <f t="shared" si="19"/>
        <v>0</v>
      </c>
      <c r="AA46" s="539">
        <f t="shared" si="19"/>
        <v>0</v>
      </c>
      <c r="AB46" s="539">
        <f t="shared" si="19"/>
        <v>0</v>
      </c>
      <c r="AC46" s="539">
        <f t="shared" si="19"/>
        <v>0</v>
      </c>
      <c r="AD46" s="539">
        <f t="shared" si="19"/>
        <v>0</v>
      </c>
      <c r="AE46" s="539">
        <f t="shared" si="19"/>
        <v>0</v>
      </c>
      <c r="AF46" s="539">
        <f t="shared" ref="AF46:AF64" si="20">SUM(U46:AE46)</f>
        <v>0</v>
      </c>
      <c r="AG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row>
    <row r="47" spans="1:64">
      <c r="A47" s="527" t="s">
        <v>699</v>
      </c>
      <c r="B47" s="527" t="s">
        <v>822</v>
      </c>
      <c r="C47" s="527" t="s">
        <v>22</v>
      </c>
      <c r="D47" s="527" t="s">
        <v>0</v>
      </c>
      <c r="E47" s="525" t="s">
        <v>39</v>
      </c>
      <c r="F47" s="526">
        <f>IFERROR(HLOOKUP(C47,'4.Team'!$CI$33:$DB$47,VLOOKUP(A47,$A$705:$B$714,2,FALSE),FALSE),0)</f>
        <v>0</v>
      </c>
      <c r="G47" s="526">
        <f t="shared" si="1"/>
        <v>0</v>
      </c>
      <c r="H47" s="525">
        <f>IFERROR(VLOOKUP($B47,'3.Tasks'!$BK$4:$BO$23,2,FALSE),0)</f>
        <v>0</v>
      </c>
      <c r="I47" s="529">
        <f t="shared" si="2"/>
        <v>0</v>
      </c>
      <c r="J47" s="529">
        <f>IFERROR(VLOOKUP($B47,'3.Tasks'!$BK$4:$BO$23,3,FALSE),0)</f>
        <v>0</v>
      </c>
      <c r="K47" s="529">
        <f t="shared" si="3"/>
        <v>0</v>
      </c>
      <c r="L47" s="529">
        <f>IFERROR(VLOOKUP($B47,'3.Tasks'!$BK$4:$BO$23,4,FALSE),0)</f>
        <v>0</v>
      </c>
      <c r="M47" s="529">
        <f t="shared" si="4"/>
        <v>0</v>
      </c>
      <c r="N47" s="529">
        <f>IFERROR(VLOOKUP($B47,'3.Tasks'!$BK$4:$BO$23,5,FALSE),0)</f>
        <v>0</v>
      </c>
      <c r="O47" s="529">
        <f t="shared" si="5"/>
        <v>0</v>
      </c>
      <c r="P47" s="530">
        <f t="shared" si="6"/>
        <v>0</v>
      </c>
      <c r="S47" s="558">
        <f>+'3.Tasks'!C6</f>
        <v>0</v>
      </c>
      <c r="T47" s="543" t="s">
        <v>820</v>
      </c>
      <c r="U47" s="539">
        <f t="shared" si="19"/>
        <v>0</v>
      </c>
      <c r="V47" s="539">
        <f t="shared" si="19"/>
        <v>0</v>
      </c>
      <c r="W47" s="539">
        <f t="shared" si="19"/>
        <v>0</v>
      </c>
      <c r="X47" s="539">
        <f t="shared" si="19"/>
        <v>0</v>
      </c>
      <c r="Y47" s="539">
        <f t="shared" si="19"/>
        <v>0</v>
      </c>
      <c r="Z47" s="539">
        <f t="shared" si="19"/>
        <v>0</v>
      </c>
      <c r="AA47" s="539">
        <f t="shared" si="19"/>
        <v>0</v>
      </c>
      <c r="AB47" s="539">
        <f t="shared" si="19"/>
        <v>0</v>
      </c>
      <c r="AC47" s="539">
        <f t="shared" si="19"/>
        <v>0</v>
      </c>
      <c r="AD47" s="539">
        <f t="shared" si="19"/>
        <v>0</v>
      </c>
      <c r="AE47" s="539">
        <f t="shared" si="19"/>
        <v>0</v>
      </c>
      <c r="AF47" s="539">
        <f t="shared" si="20"/>
        <v>0</v>
      </c>
      <c r="AG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row>
    <row r="48" spans="1:64">
      <c r="A48" s="527" t="s">
        <v>700</v>
      </c>
      <c r="B48" s="527" t="s">
        <v>822</v>
      </c>
      <c r="C48" s="527" t="s">
        <v>22</v>
      </c>
      <c r="D48" s="527" t="s">
        <v>0</v>
      </c>
      <c r="E48" s="525" t="s">
        <v>39</v>
      </c>
      <c r="F48" s="526">
        <f>IFERROR(HLOOKUP(C48,'4.Team'!$CI$33:$DB$47,VLOOKUP(A48,$A$705:$B$714,2,FALSE),FALSE),0)</f>
        <v>0</v>
      </c>
      <c r="G48" s="526">
        <f t="shared" si="1"/>
        <v>0</v>
      </c>
      <c r="H48" s="525">
        <f>IFERROR(VLOOKUP($B48,'3.Tasks'!$BK$4:$BO$23,2,FALSE),0)</f>
        <v>0</v>
      </c>
      <c r="I48" s="529">
        <f t="shared" si="2"/>
        <v>0</v>
      </c>
      <c r="J48" s="529">
        <f>IFERROR(VLOOKUP($B48,'3.Tasks'!$BK$4:$BO$23,3,FALSE),0)</f>
        <v>0</v>
      </c>
      <c r="K48" s="529">
        <f t="shared" si="3"/>
        <v>0</v>
      </c>
      <c r="L48" s="529">
        <f>IFERROR(VLOOKUP($B48,'3.Tasks'!$BK$4:$BO$23,4,FALSE),0)</f>
        <v>0</v>
      </c>
      <c r="M48" s="529">
        <f t="shared" si="4"/>
        <v>0</v>
      </c>
      <c r="N48" s="529">
        <f>IFERROR(VLOOKUP($B48,'3.Tasks'!$BK$4:$BO$23,5,FALSE),0)</f>
        <v>0</v>
      </c>
      <c r="O48" s="529">
        <f t="shared" si="5"/>
        <v>0</v>
      </c>
      <c r="P48" s="530">
        <f t="shared" si="6"/>
        <v>0</v>
      </c>
      <c r="S48" s="558">
        <f>+'3.Tasks'!C7</f>
        <v>0</v>
      </c>
      <c r="T48" s="543" t="s">
        <v>821</v>
      </c>
      <c r="U48" s="539">
        <f t="shared" si="19"/>
        <v>0</v>
      </c>
      <c r="V48" s="539">
        <f t="shared" si="19"/>
        <v>0</v>
      </c>
      <c r="W48" s="539">
        <f t="shared" si="19"/>
        <v>0</v>
      </c>
      <c r="X48" s="539">
        <f t="shared" si="19"/>
        <v>0</v>
      </c>
      <c r="Y48" s="539">
        <f t="shared" si="19"/>
        <v>0</v>
      </c>
      <c r="Z48" s="539">
        <f t="shared" si="19"/>
        <v>0</v>
      </c>
      <c r="AA48" s="539">
        <f t="shared" si="19"/>
        <v>0</v>
      </c>
      <c r="AB48" s="539">
        <f t="shared" si="19"/>
        <v>0</v>
      </c>
      <c r="AC48" s="539">
        <f t="shared" si="19"/>
        <v>0</v>
      </c>
      <c r="AD48" s="539">
        <f t="shared" si="19"/>
        <v>0</v>
      </c>
      <c r="AE48" s="539">
        <f t="shared" si="19"/>
        <v>0</v>
      </c>
      <c r="AF48" s="539">
        <f t="shared" si="20"/>
        <v>0</v>
      </c>
      <c r="AG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row>
    <row r="49" spans="1:64">
      <c r="A49" s="527" t="s">
        <v>701</v>
      </c>
      <c r="B49" s="527" t="s">
        <v>822</v>
      </c>
      <c r="C49" s="527" t="s">
        <v>22</v>
      </c>
      <c r="D49" s="527" t="s">
        <v>0</v>
      </c>
      <c r="E49" s="525" t="s">
        <v>39</v>
      </c>
      <c r="F49" s="526">
        <f>IFERROR(HLOOKUP(C49,'4.Team'!$CI$33:$DB$47,VLOOKUP(A49,$A$705:$B$714,2,FALSE),FALSE),0)</f>
        <v>0</v>
      </c>
      <c r="G49" s="526">
        <f t="shared" si="1"/>
        <v>0</v>
      </c>
      <c r="H49" s="525">
        <f>IFERROR(VLOOKUP($B49,'3.Tasks'!$BK$4:$BO$23,2,FALSE),0)</f>
        <v>0</v>
      </c>
      <c r="I49" s="529">
        <f t="shared" si="2"/>
        <v>0</v>
      </c>
      <c r="J49" s="529">
        <f>IFERROR(VLOOKUP($B49,'3.Tasks'!$BK$4:$BO$23,3,FALSE),0)</f>
        <v>0</v>
      </c>
      <c r="K49" s="529">
        <f t="shared" si="3"/>
        <v>0</v>
      </c>
      <c r="L49" s="529">
        <f>IFERROR(VLOOKUP($B49,'3.Tasks'!$BK$4:$BO$23,4,FALSE),0)</f>
        <v>0</v>
      </c>
      <c r="M49" s="529">
        <f t="shared" si="4"/>
        <v>0</v>
      </c>
      <c r="N49" s="529">
        <f>IFERROR(VLOOKUP($B49,'3.Tasks'!$BK$4:$BO$23,5,FALSE),0)</f>
        <v>0</v>
      </c>
      <c r="O49" s="529">
        <f t="shared" si="5"/>
        <v>0</v>
      </c>
      <c r="P49" s="530">
        <f t="shared" si="6"/>
        <v>0</v>
      </c>
      <c r="S49" s="558">
        <f>+'3.Tasks'!C8</f>
        <v>0</v>
      </c>
      <c r="T49" s="543" t="s">
        <v>822</v>
      </c>
      <c r="U49" s="539">
        <f t="shared" si="19"/>
        <v>0</v>
      </c>
      <c r="V49" s="539">
        <f t="shared" si="19"/>
        <v>0</v>
      </c>
      <c r="W49" s="539">
        <f t="shared" si="19"/>
        <v>0</v>
      </c>
      <c r="X49" s="539">
        <f t="shared" si="19"/>
        <v>0</v>
      </c>
      <c r="Y49" s="539">
        <f t="shared" si="19"/>
        <v>0</v>
      </c>
      <c r="Z49" s="539">
        <f t="shared" si="19"/>
        <v>0</v>
      </c>
      <c r="AA49" s="539">
        <f t="shared" si="19"/>
        <v>0</v>
      </c>
      <c r="AB49" s="539">
        <f t="shared" si="19"/>
        <v>0</v>
      </c>
      <c r="AC49" s="539">
        <f t="shared" si="19"/>
        <v>0</v>
      </c>
      <c r="AD49" s="539">
        <f t="shared" si="19"/>
        <v>0</v>
      </c>
      <c r="AE49" s="539">
        <f t="shared" si="19"/>
        <v>0</v>
      </c>
      <c r="AF49" s="539">
        <f t="shared" si="20"/>
        <v>0</v>
      </c>
      <c r="AG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row>
    <row r="50" spans="1:64">
      <c r="A50" s="527" t="s">
        <v>702</v>
      </c>
      <c r="B50" s="527" t="s">
        <v>822</v>
      </c>
      <c r="C50" s="527" t="s">
        <v>22</v>
      </c>
      <c r="D50" s="527" t="s">
        <v>0</v>
      </c>
      <c r="E50" s="525" t="s">
        <v>39</v>
      </c>
      <c r="F50" s="526">
        <f>IFERROR(HLOOKUP(C50,'4.Team'!$CI$33:$DB$47,VLOOKUP(A50,$A$705:$B$714,2,FALSE),FALSE),0)</f>
        <v>0</v>
      </c>
      <c r="G50" s="526">
        <f t="shared" si="1"/>
        <v>0</v>
      </c>
      <c r="H50" s="525">
        <f>IFERROR(VLOOKUP($B50,'3.Tasks'!$BK$4:$BO$23,2,FALSE),0)</f>
        <v>0</v>
      </c>
      <c r="I50" s="529">
        <f t="shared" si="2"/>
        <v>0</v>
      </c>
      <c r="J50" s="529">
        <f>IFERROR(VLOOKUP($B50,'3.Tasks'!$BK$4:$BO$23,3,FALSE),0)</f>
        <v>0</v>
      </c>
      <c r="K50" s="529">
        <f t="shared" si="3"/>
        <v>0</v>
      </c>
      <c r="L50" s="529">
        <f>IFERROR(VLOOKUP($B50,'3.Tasks'!$BK$4:$BO$23,4,FALSE),0)</f>
        <v>0</v>
      </c>
      <c r="M50" s="529">
        <f t="shared" si="4"/>
        <v>0</v>
      </c>
      <c r="N50" s="529">
        <f>IFERROR(VLOOKUP($B50,'3.Tasks'!$BK$4:$BO$23,5,FALSE),0)</f>
        <v>0</v>
      </c>
      <c r="O50" s="529">
        <f t="shared" si="5"/>
        <v>0</v>
      </c>
      <c r="P50" s="530">
        <f t="shared" si="6"/>
        <v>0</v>
      </c>
      <c r="S50" s="558">
        <f>+'3.Tasks'!C9</f>
        <v>0</v>
      </c>
      <c r="T50" s="543" t="s">
        <v>823</v>
      </c>
      <c r="U50" s="539">
        <f t="shared" si="19"/>
        <v>0</v>
      </c>
      <c r="V50" s="539">
        <f t="shared" si="19"/>
        <v>0</v>
      </c>
      <c r="W50" s="539">
        <f t="shared" si="19"/>
        <v>0</v>
      </c>
      <c r="X50" s="539">
        <f t="shared" si="19"/>
        <v>0</v>
      </c>
      <c r="Y50" s="539">
        <f t="shared" si="19"/>
        <v>0</v>
      </c>
      <c r="Z50" s="539">
        <f t="shared" si="19"/>
        <v>0</v>
      </c>
      <c r="AA50" s="539">
        <f t="shared" si="19"/>
        <v>0</v>
      </c>
      <c r="AB50" s="539">
        <f t="shared" si="19"/>
        <v>0</v>
      </c>
      <c r="AC50" s="539">
        <f t="shared" si="19"/>
        <v>0</v>
      </c>
      <c r="AD50" s="539">
        <f t="shared" si="19"/>
        <v>0</v>
      </c>
      <c r="AE50" s="539">
        <f t="shared" si="19"/>
        <v>0</v>
      </c>
      <c r="AF50" s="539">
        <f t="shared" si="20"/>
        <v>0</v>
      </c>
      <c r="AG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row>
    <row r="51" spans="1:64">
      <c r="A51" s="527" t="s">
        <v>703</v>
      </c>
      <c r="B51" s="527" t="s">
        <v>822</v>
      </c>
      <c r="C51" s="527" t="s">
        <v>22</v>
      </c>
      <c r="D51" s="527" t="s">
        <v>0</v>
      </c>
      <c r="E51" s="525" t="s">
        <v>39</v>
      </c>
      <c r="F51" s="526">
        <f>IFERROR(HLOOKUP(C51,'4.Team'!$CI$33:$DB$47,VLOOKUP(A51,$A$705:$B$714,2,FALSE),FALSE),0)</f>
        <v>0</v>
      </c>
      <c r="G51" s="526">
        <f t="shared" si="1"/>
        <v>0</v>
      </c>
      <c r="H51" s="525">
        <f>IFERROR(VLOOKUP($B51,'3.Tasks'!$BK$4:$BO$23,2,FALSE),0)</f>
        <v>0</v>
      </c>
      <c r="I51" s="529">
        <f t="shared" si="2"/>
        <v>0</v>
      </c>
      <c r="J51" s="529">
        <f>IFERROR(VLOOKUP($B51,'3.Tasks'!$BK$4:$BO$23,3,FALSE),0)</f>
        <v>0</v>
      </c>
      <c r="K51" s="529">
        <f t="shared" si="3"/>
        <v>0</v>
      </c>
      <c r="L51" s="529">
        <f>IFERROR(VLOOKUP($B51,'3.Tasks'!$BK$4:$BO$23,4,FALSE),0)</f>
        <v>0</v>
      </c>
      <c r="M51" s="529">
        <f t="shared" si="4"/>
        <v>0</v>
      </c>
      <c r="N51" s="529">
        <f>IFERROR(VLOOKUP($B51,'3.Tasks'!$BK$4:$BO$23,5,FALSE),0)</f>
        <v>0</v>
      </c>
      <c r="O51" s="529">
        <f t="shared" si="5"/>
        <v>0</v>
      </c>
      <c r="P51" s="530">
        <f t="shared" si="6"/>
        <v>0</v>
      </c>
      <c r="S51" s="558">
        <f>+'3.Tasks'!C10</f>
        <v>0</v>
      </c>
      <c r="T51" s="543" t="s">
        <v>824</v>
      </c>
      <c r="U51" s="539">
        <f t="shared" si="19"/>
        <v>0</v>
      </c>
      <c r="V51" s="539">
        <f t="shared" si="19"/>
        <v>0</v>
      </c>
      <c r="W51" s="539">
        <f t="shared" si="19"/>
        <v>0</v>
      </c>
      <c r="X51" s="539">
        <f t="shared" si="19"/>
        <v>0</v>
      </c>
      <c r="Y51" s="539">
        <f t="shared" si="19"/>
        <v>0</v>
      </c>
      <c r="Z51" s="539">
        <f t="shared" si="19"/>
        <v>0</v>
      </c>
      <c r="AA51" s="539">
        <f t="shared" si="19"/>
        <v>0</v>
      </c>
      <c r="AB51" s="539">
        <f t="shared" si="19"/>
        <v>0</v>
      </c>
      <c r="AC51" s="539">
        <f t="shared" si="19"/>
        <v>0</v>
      </c>
      <c r="AD51" s="539">
        <f t="shared" si="19"/>
        <v>0</v>
      </c>
      <c r="AE51" s="539">
        <f t="shared" si="19"/>
        <v>0</v>
      </c>
      <c r="AF51" s="539">
        <f t="shared" si="20"/>
        <v>0</v>
      </c>
      <c r="AG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row>
    <row r="52" spans="1:64">
      <c r="A52" s="527" t="s">
        <v>694</v>
      </c>
      <c r="B52" s="527" t="s">
        <v>823</v>
      </c>
      <c r="C52" s="527" t="s">
        <v>23</v>
      </c>
      <c r="D52" s="527" t="s">
        <v>0</v>
      </c>
      <c r="E52" s="525" t="s">
        <v>39</v>
      </c>
      <c r="F52" s="526">
        <f>IFERROR(HLOOKUP(C52,'4.Team'!$CI$33:$DB$47,VLOOKUP(A52,$A$705:$B$714,2,FALSE),FALSE),0)</f>
        <v>0</v>
      </c>
      <c r="G52" s="526">
        <f t="shared" si="1"/>
        <v>0</v>
      </c>
      <c r="H52" s="525">
        <f>IFERROR(VLOOKUP($B52,'3.Tasks'!$BK$4:$BO$23,2,FALSE),0)</f>
        <v>0</v>
      </c>
      <c r="I52" s="529">
        <f t="shared" si="2"/>
        <v>0</v>
      </c>
      <c r="J52" s="529">
        <f>IFERROR(VLOOKUP($B52,'3.Tasks'!$BK$4:$BO$23,3,FALSE),0)</f>
        <v>0</v>
      </c>
      <c r="K52" s="529">
        <f t="shared" si="3"/>
        <v>0</v>
      </c>
      <c r="L52" s="529">
        <f>IFERROR(VLOOKUP($B52,'3.Tasks'!$BK$4:$BO$23,4,FALSE),0)</f>
        <v>0</v>
      </c>
      <c r="M52" s="529">
        <f t="shared" si="4"/>
        <v>0</v>
      </c>
      <c r="N52" s="529">
        <f>IFERROR(VLOOKUP($B52,'3.Tasks'!$BK$4:$BO$23,5,FALSE),0)</f>
        <v>0</v>
      </c>
      <c r="O52" s="529">
        <f t="shared" si="5"/>
        <v>0</v>
      </c>
      <c r="P52" s="530">
        <f t="shared" si="6"/>
        <v>0</v>
      </c>
      <c r="S52" s="558">
        <f>+'3.Tasks'!C11</f>
        <v>0</v>
      </c>
      <c r="T52" s="543" t="s">
        <v>825</v>
      </c>
      <c r="U52" s="539">
        <f t="shared" si="19"/>
        <v>0</v>
      </c>
      <c r="V52" s="539">
        <f t="shared" si="19"/>
        <v>0</v>
      </c>
      <c r="W52" s="539">
        <f t="shared" si="19"/>
        <v>0</v>
      </c>
      <c r="X52" s="539">
        <f t="shared" si="19"/>
        <v>0</v>
      </c>
      <c r="Y52" s="539">
        <f t="shared" si="19"/>
        <v>0</v>
      </c>
      <c r="Z52" s="539">
        <f t="shared" si="19"/>
        <v>0</v>
      </c>
      <c r="AA52" s="539">
        <f t="shared" si="19"/>
        <v>0</v>
      </c>
      <c r="AB52" s="539">
        <f t="shared" si="19"/>
        <v>0</v>
      </c>
      <c r="AC52" s="539">
        <f t="shared" si="19"/>
        <v>0</v>
      </c>
      <c r="AD52" s="539">
        <f t="shared" si="19"/>
        <v>0</v>
      </c>
      <c r="AE52" s="539">
        <f t="shared" si="19"/>
        <v>0</v>
      </c>
      <c r="AF52" s="539">
        <f t="shared" si="20"/>
        <v>0</v>
      </c>
      <c r="AG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row>
    <row r="53" spans="1:64">
      <c r="A53" s="527" t="s">
        <v>695</v>
      </c>
      <c r="B53" s="527" t="s">
        <v>823</v>
      </c>
      <c r="C53" s="527" t="s">
        <v>23</v>
      </c>
      <c r="D53" s="527" t="s">
        <v>0</v>
      </c>
      <c r="E53" s="525" t="s">
        <v>39</v>
      </c>
      <c r="F53" s="526">
        <f>IFERROR(HLOOKUP(C53,'4.Team'!$CI$33:$DB$47,VLOOKUP(A53,$A$705:$B$714,2,FALSE),FALSE),0)</f>
        <v>0</v>
      </c>
      <c r="G53" s="526">
        <f t="shared" si="1"/>
        <v>0</v>
      </c>
      <c r="H53" s="525">
        <f>IFERROR(VLOOKUP($B53,'3.Tasks'!$BK$4:$BO$23,2,FALSE),0)</f>
        <v>0</v>
      </c>
      <c r="I53" s="529">
        <f t="shared" si="2"/>
        <v>0</v>
      </c>
      <c r="J53" s="529">
        <f>IFERROR(VLOOKUP($B53,'3.Tasks'!$BK$4:$BO$23,3,FALSE),0)</f>
        <v>0</v>
      </c>
      <c r="K53" s="529">
        <f t="shared" si="3"/>
        <v>0</v>
      </c>
      <c r="L53" s="529">
        <f>IFERROR(VLOOKUP($B53,'3.Tasks'!$BK$4:$BO$23,4,FALSE),0)</f>
        <v>0</v>
      </c>
      <c r="M53" s="529">
        <f t="shared" si="4"/>
        <v>0</v>
      </c>
      <c r="N53" s="529">
        <f>IFERROR(VLOOKUP($B53,'3.Tasks'!$BK$4:$BO$23,5,FALSE),0)</f>
        <v>0</v>
      </c>
      <c r="O53" s="529">
        <f t="shared" si="5"/>
        <v>0</v>
      </c>
      <c r="P53" s="530">
        <f t="shared" si="6"/>
        <v>0</v>
      </c>
      <c r="S53" s="558">
        <f>+'3.Tasks'!C12</f>
        <v>0</v>
      </c>
      <c r="T53" s="543" t="s">
        <v>826</v>
      </c>
      <c r="U53" s="539">
        <f t="shared" si="19"/>
        <v>0</v>
      </c>
      <c r="V53" s="539">
        <f t="shared" si="19"/>
        <v>0</v>
      </c>
      <c r="W53" s="539">
        <f t="shared" si="19"/>
        <v>0</v>
      </c>
      <c r="X53" s="539">
        <f t="shared" si="19"/>
        <v>0</v>
      </c>
      <c r="Y53" s="539">
        <f t="shared" si="19"/>
        <v>0</v>
      </c>
      <c r="Z53" s="539">
        <f t="shared" si="19"/>
        <v>0</v>
      </c>
      <c r="AA53" s="539">
        <f t="shared" si="19"/>
        <v>0</v>
      </c>
      <c r="AB53" s="539">
        <f t="shared" si="19"/>
        <v>0</v>
      </c>
      <c r="AC53" s="539">
        <f t="shared" si="19"/>
        <v>0</v>
      </c>
      <c r="AD53" s="539">
        <f t="shared" si="19"/>
        <v>0</v>
      </c>
      <c r="AE53" s="539">
        <f t="shared" si="19"/>
        <v>0</v>
      </c>
      <c r="AF53" s="539">
        <f t="shared" si="20"/>
        <v>0</v>
      </c>
      <c r="AG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row>
    <row r="54" spans="1:64">
      <c r="A54" s="527" t="s">
        <v>696</v>
      </c>
      <c r="B54" s="527" t="s">
        <v>823</v>
      </c>
      <c r="C54" s="527" t="s">
        <v>23</v>
      </c>
      <c r="D54" s="527" t="s">
        <v>0</v>
      </c>
      <c r="E54" s="525" t="s">
        <v>39</v>
      </c>
      <c r="F54" s="526">
        <f>IFERROR(HLOOKUP(C54,'4.Team'!$CI$33:$DB$47,VLOOKUP(A54,$A$705:$B$714,2,FALSE),FALSE),0)</f>
        <v>0</v>
      </c>
      <c r="G54" s="526">
        <f t="shared" si="1"/>
        <v>0</v>
      </c>
      <c r="H54" s="525">
        <f>IFERROR(VLOOKUP($B54,'3.Tasks'!$BK$4:$BO$23,2,FALSE),0)</f>
        <v>0</v>
      </c>
      <c r="I54" s="529">
        <f t="shared" si="2"/>
        <v>0</v>
      </c>
      <c r="J54" s="529">
        <f>IFERROR(VLOOKUP($B54,'3.Tasks'!$BK$4:$BO$23,3,FALSE),0)</f>
        <v>0</v>
      </c>
      <c r="K54" s="529">
        <f t="shared" si="3"/>
        <v>0</v>
      </c>
      <c r="L54" s="529">
        <f>IFERROR(VLOOKUP($B54,'3.Tasks'!$BK$4:$BO$23,4,FALSE),0)</f>
        <v>0</v>
      </c>
      <c r="M54" s="529">
        <f t="shared" si="4"/>
        <v>0</v>
      </c>
      <c r="N54" s="529">
        <f>IFERROR(VLOOKUP($B54,'3.Tasks'!$BK$4:$BO$23,5,FALSE),0)</f>
        <v>0</v>
      </c>
      <c r="O54" s="529">
        <f t="shared" si="5"/>
        <v>0</v>
      </c>
      <c r="P54" s="530">
        <f t="shared" si="6"/>
        <v>0</v>
      </c>
      <c r="S54" s="558">
        <f>+'3.Tasks'!C13</f>
        <v>0</v>
      </c>
      <c r="T54" s="543" t="s">
        <v>827</v>
      </c>
      <c r="U54" s="539">
        <f t="shared" si="19"/>
        <v>0</v>
      </c>
      <c r="V54" s="539">
        <f t="shared" si="19"/>
        <v>0</v>
      </c>
      <c r="W54" s="539">
        <f t="shared" si="19"/>
        <v>0</v>
      </c>
      <c r="X54" s="539">
        <f t="shared" si="19"/>
        <v>0</v>
      </c>
      <c r="Y54" s="539">
        <f t="shared" si="19"/>
        <v>0</v>
      </c>
      <c r="Z54" s="539">
        <f t="shared" si="19"/>
        <v>0</v>
      </c>
      <c r="AA54" s="539">
        <f t="shared" si="19"/>
        <v>0</v>
      </c>
      <c r="AB54" s="539">
        <f t="shared" si="19"/>
        <v>0</v>
      </c>
      <c r="AC54" s="539">
        <f t="shared" si="19"/>
        <v>0</v>
      </c>
      <c r="AD54" s="539">
        <f t="shared" si="19"/>
        <v>0</v>
      </c>
      <c r="AE54" s="539">
        <f t="shared" si="19"/>
        <v>0</v>
      </c>
      <c r="AF54" s="539">
        <f t="shared" si="20"/>
        <v>0</v>
      </c>
      <c r="AG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row>
    <row r="55" spans="1:64">
      <c r="A55" s="527" t="s">
        <v>697</v>
      </c>
      <c r="B55" s="527" t="s">
        <v>823</v>
      </c>
      <c r="C55" s="527" t="s">
        <v>23</v>
      </c>
      <c r="D55" s="527" t="s">
        <v>0</v>
      </c>
      <c r="E55" s="525" t="s">
        <v>39</v>
      </c>
      <c r="F55" s="526">
        <f>IFERROR(HLOOKUP(C55,'4.Team'!$CI$33:$DB$47,VLOOKUP(A55,$A$705:$B$714,2,FALSE),FALSE),0)</f>
        <v>0</v>
      </c>
      <c r="G55" s="526">
        <f t="shared" si="1"/>
        <v>0</v>
      </c>
      <c r="H55" s="525">
        <f>IFERROR(VLOOKUP($B55,'3.Tasks'!$BK$4:$BO$23,2,FALSE),0)</f>
        <v>0</v>
      </c>
      <c r="I55" s="529">
        <f t="shared" si="2"/>
        <v>0</v>
      </c>
      <c r="J55" s="529">
        <f>IFERROR(VLOOKUP($B55,'3.Tasks'!$BK$4:$BO$23,3,FALSE),0)</f>
        <v>0</v>
      </c>
      <c r="K55" s="529">
        <f t="shared" si="3"/>
        <v>0</v>
      </c>
      <c r="L55" s="529">
        <f>IFERROR(VLOOKUP($B55,'3.Tasks'!$BK$4:$BO$23,4,FALSE),0)</f>
        <v>0</v>
      </c>
      <c r="M55" s="529">
        <f t="shared" si="4"/>
        <v>0</v>
      </c>
      <c r="N55" s="529">
        <f>IFERROR(VLOOKUP($B55,'3.Tasks'!$BK$4:$BO$23,5,FALSE),0)</f>
        <v>0</v>
      </c>
      <c r="O55" s="529">
        <f t="shared" si="5"/>
        <v>0</v>
      </c>
      <c r="P55" s="530">
        <f t="shared" si="6"/>
        <v>0</v>
      </c>
      <c r="S55" s="558">
        <f>+'3.Tasks'!C14</f>
        <v>0</v>
      </c>
      <c r="T55" s="543" t="s">
        <v>828</v>
      </c>
      <c r="U55" s="539">
        <f t="shared" si="19"/>
        <v>0</v>
      </c>
      <c r="V55" s="539">
        <f t="shared" si="19"/>
        <v>0</v>
      </c>
      <c r="W55" s="539">
        <f t="shared" si="19"/>
        <v>0</v>
      </c>
      <c r="X55" s="539">
        <f t="shared" si="19"/>
        <v>0</v>
      </c>
      <c r="Y55" s="539">
        <f t="shared" si="19"/>
        <v>0</v>
      </c>
      <c r="Z55" s="539">
        <f t="shared" si="19"/>
        <v>0</v>
      </c>
      <c r="AA55" s="539">
        <f t="shared" si="19"/>
        <v>0</v>
      </c>
      <c r="AB55" s="539">
        <f t="shared" si="19"/>
        <v>0</v>
      </c>
      <c r="AC55" s="539">
        <f t="shared" si="19"/>
        <v>0</v>
      </c>
      <c r="AD55" s="539">
        <f t="shared" si="19"/>
        <v>0</v>
      </c>
      <c r="AE55" s="539">
        <f t="shared" si="19"/>
        <v>0</v>
      </c>
      <c r="AF55" s="539">
        <f t="shared" si="20"/>
        <v>0</v>
      </c>
      <c r="AG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row>
    <row r="56" spans="1:64">
      <c r="A56" s="527" t="s">
        <v>698</v>
      </c>
      <c r="B56" s="527" t="s">
        <v>823</v>
      </c>
      <c r="C56" s="527" t="s">
        <v>23</v>
      </c>
      <c r="D56" s="527" t="s">
        <v>0</v>
      </c>
      <c r="E56" s="525" t="s">
        <v>39</v>
      </c>
      <c r="F56" s="526">
        <f>IFERROR(HLOOKUP(C56,'4.Team'!$CI$33:$DB$47,VLOOKUP(A56,$A$705:$B$714,2,FALSE),FALSE),0)</f>
        <v>0</v>
      </c>
      <c r="G56" s="526">
        <f t="shared" si="1"/>
        <v>0</v>
      </c>
      <c r="H56" s="525">
        <f>IFERROR(VLOOKUP($B56,'3.Tasks'!$BK$4:$BO$23,2,FALSE),0)</f>
        <v>0</v>
      </c>
      <c r="I56" s="529">
        <f t="shared" si="2"/>
        <v>0</v>
      </c>
      <c r="J56" s="529">
        <f>IFERROR(VLOOKUP($B56,'3.Tasks'!$BK$4:$BO$23,3,FALSE),0)</f>
        <v>0</v>
      </c>
      <c r="K56" s="529">
        <f t="shared" si="3"/>
        <v>0</v>
      </c>
      <c r="L56" s="529">
        <f>IFERROR(VLOOKUP($B56,'3.Tasks'!$BK$4:$BO$23,4,FALSE),0)</f>
        <v>0</v>
      </c>
      <c r="M56" s="529">
        <f t="shared" si="4"/>
        <v>0</v>
      </c>
      <c r="N56" s="529">
        <f>IFERROR(VLOOKUP($B56,'3.Tasks'!$BK$4:$BO$23,5,FALSE),0)</f>
        <v>0</v>
      </c>
      <c r="O56" s="529">
        <f t="shared" si="5"/>
        <v>0</v>
      </c>
      <c r="P56" s="530">
        <f t="shared" si="6"/>
        <v>0</v>
      </c>
      <c r="S56" s="558">
        <f>+'3.Tasks'!C15</f>
        <v>0</v>
      </c>
      <c r="T56" s="543" t="s">
        <v>829</v>
      </c>
      <c r="U56" s="539">
        <f t="shared" si="19"/>
        <v>0</v>
      </c>
      <c r="V56" s="539">
        <f t="shared" si="19"/>
        <v>0</v>
      </c>
      <c r="W56" s="539">
        <f t="shared" si="19"/>
        <v>0</v>
      </c>
      <c r="X56" s="539">
        <f t="shared" si="19"/>
        <v>0</v>
      </c>
      <c r="Y56" s="539">
        <f t="shared" si="19"/>
        <v>0</v>
      </c>
      <c r="Z56" s="539">
        <f t="shared" si="19"/>
        <v>0</v>
      </c>
      <c r="AA56" s="539">
        <f t="shared" si="19"/>
        <v>0</v>
      </c>
      <c r="AB56" s="539">
        <f t="shared" si="19"/>
        <v>0</v>
      </c>
      <c r="AC56" s="539">
        <f t="shared" si="19"/>
        <v>0</v>
      </c>
      <c r="AD56" s="539">
        <f t="shared" si="19"/>
        <v>0</v>
      </c>
      <c r="AE56" s="539">
        <f t="shared" si="19"/>
        <v>0</v>
      </c>
      <c r="AF56" s="539">
        <f t="shared" si="20"/>
        <v>0</v>
      </c>
      <c r="AG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row>
    <row r="57" spans="1:64">
      <c r="A57" s="527" t="s">
        <v>699</v>
      </c>
      <c r="B57" s="527" t="s">
        <v>823</v>
      </c>
      <c r="C57" s="527" t="s">
        <v>23</v>
      </c>
      <c r="D57" s="527" t="s">
        <v>0</v>
      </c>
      <c r="E57" s="525" t="s">
        <v>39</v>
      </c>
      <c r="F57" s="526">
        <f>IFERROR(HLOOKUP(C57,'4.Team'!$CI$33:$DB$47,VLOOKUP(A57,$A$705:$B$714,2,FALSE),FALSE),0)</f>
        <v>0</v>
      </c>
      <c r="G57" s="526">
        <f t="shared" si="1"/>
        <v>0</v>
      </c>
      <c r="H57" s="525">
        <f>IFERROR(VLOOKUP($B57,'3.Tasks'!$BK$4:$BO$23,2,FALSE),0)</f>
        <v>0</v>
      </c>
      <c r="I57" s="529">
        <f t="shared" si="2"/>
        <v>0</v>
      </c>
      <c r="J57" s="529">
        <f>IFERROR(VLOOKUP($B57,'3.Tasks'!$BK$4:$BO$23,3,FALSE),0)</f>
        <v>0</v>
      </c>
      <c r="K57" s="529">
        <f t="shared" si="3"/>
        <v>0</v>
      </c>
      <c r="L57" s="529">
        <f>IFERROR(VLOOKUP($B57,'3.Tasks'!$BK$4:$BO$23,4,FALSE),0)</f>
        <v>0</v>
      </c>
      <c r="M57" s="529">
        <f t="shared" si="4"/>
        <v>0</v>
      </c>
      <c r="N57" s="529">
        <f>IFERROR(VLOOKUP($B57,'3.Tasks'!$BK$4:$BO$23,5,FALSE),0)</f>
        <v>0</v>
      </c>
      <c r="O57" s="529">
        <f t="shared" si="5"/>
        <v>0</v>
      </c>
      <c r="P57" s="530">
        <f t="shared" si="6"/>
        <v>0</v>
      </c>
      <c r="S57" s="558">
        <f>+'3.Tasks'!C16</f>
        <v>0</v>
      </c>
      <c r="T57" s="543" t="s">
        <v>830</v>
      </c>
      <c r="U57" s="539">
        <f t="shared" si="19"/>
        <v>0</v>
      </c>
      <c r="V57" s="539">
        <f t="shared" si="19"/>
        <v>0</v>
      </c>
      <c r="W57" s="539">
        <f t="shared" si="19"/>
        <v>0</v>
      </c>
      <c r="X57" s="539">
        <f t="shared" si="19"/>
        <v>0</v>
      </c>
      <c r="Y57" s="539">
        <f t="shared" si="19"/>
        <v>0</v>
      </c>
      <c r="Z57" s="539">
        <f t="shared" si="19"/>
        <v>0</v>
      </c>
      <c r="AA57" s="539">
        <f t="shared" si="19"/>
        <v>0</v>
      </c>
      <c r="AB57" s="539">
        <f t="shared" si="19"/>
        <v>0</v>
      </c>
      <c r="AC57" s="539">
        <f t="shared" si="19"/>
        <v>0</v>
      </c>
      <c r="AD57" s="539">
        <f t="shared" si="19"/>
        <v>0</v>
      </c>
      <c r="AE57" s="539">
        <f t="shared" si="19"/>
        <v>0</v>
      </c>
      <c r="AF57" s="539">
        <f t="shared" si="20"/>
        <v>0</v>
      </c>
      <c r="AG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row>
    <row r="58" spans="1:64">
      <c r="A58" s="527" t="s">
        <v>700</v>
      </c>
      <c r="B58" s="527" t="s">
        <v>823</v>
      </c>
      <c r="C58" s="527" t="s">
        <v>23</v>
      </c>
      <c r="D58" s="527" t="s">
        <v>0</v>
      </c>
      <c r="E58" s="525" t="s">
        <v>39</v>
      </c>
      <c r="F58" s="526">
        <f>IFERROR(HLOOKUP(C58,'4.Team'!$CI$33:$DB$47,VLOOKUP(A58,$A$705:$B$714,2,FALSE),FALSE),0)</f>
        <v>0</v>
      </c>
      <c r="G58" s="526">
        <f t="shared" si="1"/>
        <v>0</v>
      </c>
      <c r="H58" s="525">
        <f>IFERROR(VLOOKUP($B58,'3.Tasks'!$BK$4:$BO$23,2,FALSE),0)</f>
        <v>0</v>
      </c>
      <c r="I58" s="529">
        <f t="shared" si="2"/>
        <v>0</v>
      </c>
      <c r="J58" s="529">
        <f>IFERROR(VLOOKUP($B58,'3.Tasks'!$BK$4:$BO$23,3,FALSE),0)</f>
        <v>0</v>
      </c>
      <c r="K58" s="529">
        <f t="shared" si="3"/>
        <v>0</v>
      </c>
      <c r="L58" s="529">
        <f>IFERROR(VLOOKUP($B58,'3.Tasks'!$BK$4:$BO$23,4,FALSE),0)</f>
        <v>0</v>
      </c>
      <c r="M58" s="529">
        <f t="shared" si="4"/>
        <v>0</v>
      </c>
      <c r="N58" s="529">
        <f>IFERROR(VLOOKUP($B58,'3.Tasks'!$BK$4:$BO$23,5,FALSE),0)</f>
        <v>0</v>
      </c>
      <c r="O58" s="529">
        <f t="shared" si="5"/>
        <v>0</v>
      </c>
      <c r="P58" s="530">
        <f t="shared" si="6"/>
        <v>0</v>
      </c>
      <c r="S58" s="558">
        <f>+'3.Tasks'!C17</f>
        <v>0</v>
      </c>
      <c r="T58" s="543" t="s">
        <v>831</v>
      </c>
      <c r="U58" s="539">
        <f t="shared" si="19"/>
        <v>0</v>
      </c>
      <c r="V58" s="539">
        <f t="shared" si="19"/>
        <v>0</v>
      </c>
      <c r="W58" s="539">
        <f t="shared" si="19"/>
        <v>0</v>
      </c>
      <c r="X58" s="539">
        <f t="shared" si="19"/>
        <v>0</v>
      </c>
      <c r="Y58" s="539">
        <f t="shared" si="19"/>
        <v>0</v>
      </c>
      <c r="Z58" s="539">
        <f t="shared" si="19"/>
        <v>0</v>
      </c>
      <c r="AA58" s="539">
        <f t="shared" si="19"/>
        <v>0</v>
      </c>
      <c r="AB58" s="539">
        <f t="shared" si="19"/>
        <v>0</v>
      </c>
      <c r="AC58" s="539">
        <f t="shared" si="19"/>
        <v>0</v>
      </c>
      <c r="AD58" s="539">
        <f t="shared" si="19"/>
        <v>0</v>
      </c>
      <c r="AE58" s="539">
        <f t="shared" si="19"/>
        <v>0</v>
      </c>
      <c r="AF58" s="539">
        <f t="shared" si="20"/>
        <v>0</v>
      </c>
      <c r="AG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row>
    <row r="59" spans="1:64">
      <c r="A59" s="527" t="s">
        <v>701</v>
      </c>
      <c r="B59" s="527" t="s">
        <v>823</v>
      </c>
      <c r="C59" s="527" t="s">
        <v>23</v>
      </c>
      <c r="D59" s="527" t="s">
        <v>0</v>
      </c>
      <c r="E59" s="525" t="s">
        <v>39</v>
      </c>
      <c r="F59" s="526">
        <f>IFERROR(HLOOKUP(C59,'4.Team'!$CI$33:$DB$47,VLOOKUP(A59,$A$705:$B$714,2,FALSE),FALSE),0)</f>
        <v>0</v>
      </c>
      <c r="G59" s="526">
        <f t="shared" si="1"/>
        <v>0</v>
      </c>
      <c r="H59" s="525">
        <f>IFERROR(VLOOKUP($B59,'3.Tasks'!$BK$4:$BO$23,2,FALSE),0)</f>
        <v>0</v>
      </c>
      <c r="I59" s="529">
        <f t="shared" si="2"/>
        <v>0</v>
      </c>
      <c r="J59" s="529">
        <f>IFERROR(VLOOKUP($B59,'3.Tasks'!$BK$4:$BO$23,3,FALSE),0)</f>
        <v>0</v>
      </c>
      <c r="K59" s="529">
        <f t="shared" si="3"/>
        <v>0</v>
      </c>
      <c r="L59" s="529">
        <f>IFERROR(VLOOKUP($B59,'3.Tasks'!$BK$4:$BO$23,4,FALSE),0)</f>
        <v>0</v>
      </c>
      <c r="M59" s="529">
        <f t="shared" si="4"/>
        <v>0</v>
      </c>
      <c r="N59" s="529">
        <f>IFERROR(VLOOKUP($B59,'3.Tasks'!$BK$4:$BO$23,5,FALSE),0)</f>
        <v>0</v>
      </c>
      <c r="O59" s="529">
        <f t="shared" si="5"/>
        <v>0</v>
      </c>
      <c r="P59" s="530">
        <f t="shared" si="6"/>
        <v>0</v>
      </c>
      <c r="S59" s="558">
        <f>+'3.Tasks'!C18</f>
        <v>0</v>
      </c>
      <c r="T59" s="543" t="s">
        <v>832</v>
      </c>
      <c r="U59" s="539">
        <f t="shared" si="19"/>
        <v>0</v>
      </c>
      <c r="V59" s="539">
        <f t="shared" si="19"/>
        <v>0</v>
      </c>
      <c r="W59" s="539">
        <f t="shared" si="19"/>
        <v>0</v>
      </c>
      <c r="X59" s="539">
        <f t="shared" si="19"/>
        <v>0</v>
      </c>
      <c r="Y59" s="539">
        <f t="shared" si="19"/>
        <v>0</v>
      </c>
      <c r="Z59" s="539">
        <f t="shared" si="19"/>
        <v>0</v>
      </c>
      <c r="AA59" s="539">
        <f t="shared" si="19"/>
        <v>0</v>
      </c>
      <c r="AB59" s="539">
        <f t="shared" si="19"/>
        <v>0</v>
      </c>
      <c r="AC59" s="539">
        <f t="shared" si="19"/>
        <v>0</v>
      </c>
      <c r="AD59" s="539">
        <f t="shared" si="19"/>
        <v>0</v>
      </c>
      <c r="AE59" s="539">
        <f t="shared" si="19"/>
        <v>0</v>
      </c>
      <c r="AF59" s="539">
        <f t="shared" si="20"/>
        <v>0</v>
      </c>
      <c r="AG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row>
    <row r="60" spans="1:64">
      <c r="A60" s="527" t="s">
        <v>702</v>
      </c>
      <c r="B60" s="527" t="s">
        <v>823</v>
      </c>
      <c r="C60" s="527" t="s">
        <v>23</v>
      </c>
      <c r="D60" s="527" t="s">
        <v>0</v>
      </c>
      <c r="E60" s="525" t="s">
        <v>39</v>
      </c>
      <c r="F60" s="526">
        <f>IFERROR(HLOOKUP(C60,'4.Team'!$CI$33:$DB$47,VLOOKUP(A60,$A$705:$B$714,2,FALSE),FALSE),0)</f>
        <v>0</v>
      </c>
      <c r="G60" s="526">
        <f t="shared" si="1"/>
        <v>0</v>
      </c>
      <c r="H60" s="525">
        <f>IFERROR(VLOOKUP($B60,'3.Tasks'!$BK$4:$BO$23,2,FALSE),0)</f>
        <v>0</v>
      </c>
      <c r="I60" s="529">
        <f t="shared" si="2"/>
        <v>0</v>
      </c>
      <c r="J60" s="529">
        <f>IFERROR(VLOOKUP($B60,'3.Tasks'!$BK$4:$BO$23,3,FALSE),0)</f>
        <v>0</v>
      </c>
      <c r="K60" s="529">
        <f t="shared" si="3"/>
        <v>0</v>
      </c>
      <c r="L60" s="529">
        <f>IFERROR(VLOOKUP($B60,'3.Tasks'!$BK$4:$BO$23,4,FALSE),0)</f>
        <v>0</v>
      </c>
      <c r="M60" s="529">
        <f t="shared" si="4"/>
        <v>0</v>
      </c>
      <c r="N60" s="529">
        <f>IFERROR(VLOOKUP($B60,'3.Tasks'!$BK$4:$BO$23,5,FALSE),0)</f>
        <v>0</v>
      </c>
      <c r="O60" s="529">
        <f t="shared" si="5"/>
        <v>0</v>
      </c>
      <c r="P60" s="530">
        <f t="shared" si="6"/>
        <v>0</v>
      </c>
      <c r="S60" s="558">
        <f>+'3.Tasks'!C19</f>
        <v>0</v>
      </c>
      <c r="T60" s="543" t="s">
        <v>833</v>
      </c>
      <c r="U60" s="539">
        <f t="shared" si="19"/>
        <v>0</v>
      </c>
      <c r="V60" s="539">
        <f t="shared" si="19"/>
        <v>0</v>
      </c>
      <c r="W60" s="539">
        <f t="shared" si="19"/>
        <v>0</v>
      </c>
      <c r="X60" s="539">
        <f t="shared" si="19"/>
        <v>0</v>
      </c>
      <c r="Y60" s="539">
        <f t="shared" si="19"/>
        <v>0</v>
      </c>
      <c r="Z60" s="539">
        <f t="shared" si="19"/>
        <v>0</v>
      </c>
      <c r="AA60" s="539">
        <f t="shared" si="19"/>
        <v>0</v>
      </c>
      <c r="AB60" s="539">
        <f t="shared" si="19"/>
        <v>0</v>
      </c>
      <c r="AC60" s="539">
        <f t="shared" si="19"/>
        <v>0</v>
      </c>
      <c r="AD60" s="539">
        <f t="shared" si="19"/>
        <v>0</v>
      </c>
      <c r="AE60" s="539">
        <f t="shared" si="19"/>
        <v>0</v>
      </c>
      <c r="AF60" s="539">
        <f t="shared" si="20"/>
        <v>0</v>
      </c>
      <c r="AG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row>
    <row r="61" spans="1:64">
      <c r="A61" s="527" t="s">
        <v>703</v>
      </c>
      <c r="B61" s="527" t="s">
        <v>823</v>
      </c>
      <c r="C61" s="527" t="s">
        <v>23</v>
      </c>
      <c r="D61" s="527" t="s">
        <v>0</v>
      </c>
      <c r="E61" s="525" t="s">
        <v>39</v>
      </c>
      <c r="F61" s="526">
        <f>IFERROR(HLOOKUP(C61,'4.Team'!$CI$33:$DB$47,VLOOKUP(A61,$A$705:$B$714,2,FALSE),FALSE),0)</f>
        <v>0</v>
      </c>
      <c r="G61" s="526">
        <f t="shared" si="1"/>
        <v>0</v>
      </c>
      <c r="H61" s="525">
        <f>IFERROR(VLOOKUP($B61,'3.Tasks'!$BK$4:$BO$23,2,FALSE),0)</f>
        <v>0</v>
      </c>
      <c r="I61" s="529">
        <f t="shared" si="2"/>
        <v>0</v>
      </c>
      <c r="J61" s="529">
        <f>IFERROR(VLOOKUP($B61,'3.Tasks'!$BK$4:$BO$23,3,FALSE),0)</f>
        <v>0</v>
      </c>
      <c r="K61" s="529">
        <f t="shared" si="3"/>
        <v>0</v>
      </c>
      <c r="L61" s="529">
        <f>IFERROR(VLOOKUP($B61,'3.Tasks'!$BK$4:$BO$23,4,FALSE),0)</f>
        <v>0</v>
      </c>
      <c r="M61" s="529">
        <f t="shared" si="4"/>
        <v>0</v>
      </c>
      <c r="N61" s="529">
        <f>IFERROR(VLOOKUP($B61,'3.Tasks'!$BK$4:$BO$23,5,FALSE),0)</f>
        <v>0</v>
      </c>
      <c r="O61" s="529">
        <f t="shared" si="5"/>
        <v>0</v>
      </c>
      <c r="P61" s="530">
        <f t="shared" si="6"/>
        <v>0</v>
      </c>
      <c r="S61" s="558">
        <f>+'3.Tasks'!C20</f>
        <v>0</v>
      </c>
      <c r="T61" s="543" t="s">
        <v>834</v>
      </c>
      <c r="U61" s="539">
        <f t="shared" si="19"/>
        <v>0</v>
      </c>
      <c r="V61" s="539">
        <f t="shared" si="19"/>
        <v>0</v>
      </c>
      <c r="W61" s="539">
        <f t="shared" si="19"/>
        <v>0</v>
      </c>
      <c r="X61" s="539">
        <f t="shared" si="19"/>
        <v>0</v>
      </c>
      <c r="Y61" s="539">
        <f t="shared" si="19"/>
        <v>0</v>
      </c>
      <c r="Z61" s="539">
        <f t="shared" si="19"/>
        <v>0</v>
      </c>
      <c r="AA61" s="539">
        <f t="shared" si="19"/>
        <v>0</v>
      </c>
      <c r="AB61" s="539">
        <f t="shared" si="19"/>
        <v>0</v>
      </c>
      <c r="AC61" s="539">
        <f t="shared" si="19"/>
        <v>0</v>
      </c>
      <c r="AD61" s="539">
        <f t="shared" si="19"/>
        <v>0</v>
      </c>
      <c r="AE61" s="539">
        <f t="shared" si="19"/>
        <v>0</v>
      </c>
      <c r="AF61" s="539">
        <f t="shared" si="20"/>
        <v>0</v>
      </c>
      <c r="AG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row>
    <row r="62" spans="1:64">
      <c r="A62" s="527" t="s">
        <v>694</v>
      </c>
      <c r="B62" s="527" t="s">
        <v>824</v>
      </c>
      <c r="C62" s="527" t="s">
        <v>24</v>
      </c>
      <c r="D62" s="527" t="s">
        <v>0</v>
      </c>
      <c r="E62" s="525" t="s">
        <v>39</v>
      </c>
      <c r="F62" s="526">
        <f>IFERROR(HLOOKUP(C62,'4.Team'!$CI$33:$DB$47,VLOOKUP(A62,$A$705:$B$714,2,FALSE),FALSE),0)</f>
        <v>0</v>
      </c>
      <c r="G62" s="526">
        <f t="shared" si="1"/>
        <v>0</v>
      </c>
      <c r="H62" s="525">
        <f>IFERROR(VLOOKUP($B62,'3.Tasks'!$BK$4:$BO$23,2,FALSE),0)</f>
        <v>0</v>
      </c>
      <c r="I62" s="529">
        <f t="shared" si="2"/>
        <v>0</v>
      </c>
      <c r="J62" s="529">
        <f>IFERROR(VLOOKUP($B62,'3.Tasks'!$BK$4:$BO$23,3,FALSE),0)</f>
        <v>0</v>
      </c>
      <c r="K62" s="529">
        <f t="shared" si="3"/>
        <v>0</v>
      </c>
      <c r="L62" s="529">
        <f>IFERROR(VLOOKUP($B62,'3.Tasks'!$BK$4:$BO$23,4,FALSE),0)</f>
        <v>0</v>
      </c>
      <c r="M62" s="529">
        <f t="shared" si="4"/>
        <v>0</v>
      </c>
      <c r="N62" s="529">
        <f>IFERROR(VLOOKUP($B62,'3.Tasks'!$BK$4:$BO$23,5,FALSE),0)</f>
        <v>0</v>
      </c>
      <c r="O62" s="529">
        <f t="shared" si="5"/>
        <v>0</v>
      </c>
      <c r="P62" s="530">
        <f t="shared" si="6"/>
        <v>0</v>
      </c>
      <c r="S62" s="558">
        <f>+'3.Tasks'!C21</f>
        <v>0</v>
      </c>
      <c r="T62" s="543" t="s">
        <v>835</v>
      </c>
      <c r="U62" s="539">
        <f t="shared" si="19"/>
        <v>0</v>
      </c>
      <c r="V62" s="539">
        <f t="shared" si="19"/>
        <v>0</v>
      </c>
      <c r="W62" s="539">
        <f t="shared" si="19"/>
        <v>0</v>
      </c>
      <c r="X62" s="539">
        <f t="shared" si="19"/>
        <v>0</v>
      </c>
      <c r="Y62" s="539">
        <f t="shared" si="19"/>
        <v>0</v>
      </c>
      <c r="Z62" s="539">
        <f t="shared" si="19"/>
        <v>0</v>
      </c>
      <c r="AA62" s="539">
        <f t="shared" si="19"/>
        <v>0</v>
      </c>
      <c r="AB62" s="539">
        <f t="shared" si="19"/>
        <v>0</v>
      </c>
      <c r="AC62" s="539">
        <f t="shared" si="19"/>
        <v>0</v>
      </c>
      <c r="AD62" s="539">
        <f t="shared" si="19"/>
        <v>0</v>
      </c>
      <c r="AE62" s="539">
        <f t="shared" si="19"/>
        <v>0</v>
      </c>
      <c r="AF62" s="539">
        <f t="shared" si="20"/>
        <v>0</v>
      </c>
      <c r="AG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row>
    <row r="63" spans="1:64">
      <c r="A63" s="527" t="s">
        <v>695</v>
      </c>
      <c r="B63" s="527" t="s">
        <v>824</v>
      </c>
      <c r="C63" s="527" t="s">
        <v>24</v>
      </c>
      <c r="D63" s="527" t="s">
        <v>0</v>
      </c>
      <c r="E63" s="525" t="s">
        <v>39</v>
      </c>
      <c r="F63" s="526">
        <f>IFERROR(HLOOKUP(C63,'4.Team'!$CI$33:$DB$47,VLOOKUP(A63,$A$705:$B$714,2,FALSE),FALSE),0)</f>
        <v>0</v>
      </c>
      <c r="G63" s="526">
        <f t="shared" si="1"/>
        <v>0</v>
      </c>
      <c r="H63" s="525">
        <f>IFERROR(VLOOKUP($B63,'3.Tasks'!$BK$4:$BO$23,2,FALSE),0)</f>
        <v>0</v>
      </c>
      <c r="I63" s="529">
        <f t="shared" si="2"/>
        <v>0</v>
      </c>
      <c r="J63" s="529">
        <f>IFERROR(VLOOKUP($B63,'3.Tasks'!$BK$4:$BO$23,3,FALSE),0)</f>
        <v>0</v>
      </c>
      <c r="K63" s="529">
        <f t="shared" si="3"/>
        <v>0</v>
      </c>
      <c r="L63" s="529">
        <f>IFERROR(VLOOKUP($B63,'3.Tasks'!$BK$4:$BO$23,4,FALSE),0)</f>
        <v>0</v>
      </c>
      <c r="M63" s="529">
        <f t="shared" si="4"/>
        <v>0</v>
      </c>
      <c r="N63" s="529">
        <f>IFERROR(VLOOKUP($B63,'3.Tasks'!$BK$4:$BO$23,5,FALSE),0)</f>
        <v>0</v>
      </c>
      <c r="O63" s="529">
        <f t="shared" si="5"/>
        <v>0</v>
      </c>
      <c r="P63" s="530">
        <f t="shared" si="6"/>
        <v>0</v>
      </c>
      <c r="S63" s="558">
        <f>+'3.Tasks'!C22</f>
        <v>0</v>
      </c>
      <c r="T63" s="543" t="s">
        <v>836</v>
      </c>
      <c r="U63" s="539">
        <f t="shared" si="19"/>
        <v>0</v>
      </c>
      <c r="V63" s="539">
        <f t="shared" si="19"/>
        <v>0</v>
      </c>
      <c r="W63" s="539">
        <f t="shared" si="19"/>
        <v>0</v>
      </c>
      <c r="X63" s="539">
        <f t="shared" si="19"/>
        <v>0</v>
      </c>
      <c r="Y63" s="539">
        <f t="shared" si="19"/>
        <v>0</v>
      </c>
      <c r="Z63" s="539">
        <f t="shared" si="19"/>
        <v>0</v>
      </c>
      <c r="AA63" s="539">
        <f t="shared" si="19"/>
        <v>0</v>
      </c>
      <c r="AB63" s="539">
        <f t="shared" si="19"/>
        <v>0</v>
      </c>
      <c r="AC63" s="539">
        <f t="shared" si="19"/>
        <v>0</v>
      </c>
      <c r="AD63" s="539">
        <f t="shared" si="19"/>
        <v>0</v>
      </c>
      <c r="AE63" s="539">
        <f t="shared" si="19"/>
        <v>0</v>
      </c>
      <c r="AF63" s="539">
        <f t="shared" si="20"/>
        <v>0</v>
      </c>
      <c r="AG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row>
    <row r="64" spans="1:64">
      <c r="A64" s="527" t="s">
        <v>696</v>
      </c>
      <c r="B64" s="527" t="s">
        <v>824</v>
      </c>
      <c r="C64" s="527" t="s">
        <v>24</v>
      </c>
      <c r="D64" s="527" t="s">
        <v>0</v>
      </c>
      <c r="E64" s="525" t="s">
        <v>39</v>
      </c>
      <c r="F64" s="526">
        <f>IFERROR(HLOOKUP(C64,'4.Team'!$CI$33:$DB$47,VLOOKUP(A64,$A$705:$B$714,2,FALSE),FALSE),0)</f>
        <v>0</v>
      </c>
      <c r="G64" s="526">
        <f t="shared" si="1"/>
        <v>0</v>
      </c>
      <c r="H64" s="525">
        <f>IFERROR(VLOOKUP($B64,'3.Tasks'!$BK$4:$BO$23,2,FALSE),0)</f>
        <v>0</v>
      </c>
      <c r="I64" s="529">
        <f t="shared" si="2"/>
        <v>0</v>
      </c>
      <c r="J64" s="529">
        <f>IFERROR(VLOOKUP($B64,'3.Tasks'!$BK$4:$BO$23,3,FALSE),0)</f>
        <v>0</v>
      </c>
      <c r="K64" s="529">
        <f t="shared" si="3"/>
        <v>0</v>
      </c>
      <c r="L64" s="529">
        <f>IFERROR(VLOOKUP($B64,'3.Tasks'!$BK$4:$BO$23,4,FALSE),0)</f>
        <v>0</v>
      </c>
      <c r="M64" s="529">
        <f t="shared" si="4"/>
        <v>0</v>
      </c>
      <c r="N64" s="529">
        <f>IFERROR(VLOOKUP($B64,'3.Tasks'!$BK$4:$BO$23,5,FALSE),0)</f>
        <v>0</v>
      </c>
      <c r="O64" s="529">
        <f t="shared" si="5"/>
        <v>0</v>
      </c>
      <c r="P64" s="530">
        <f t="shared" si="6"/>
        <v>0</v>
      </c>
      <c r="S64" s="558">
        <f>+'3.Tasks'!C23</f>
        <v>0</v>
      </c>
      <c r="T64" s="543" t="s">
        <v>837</v>
      </c>
      <c r="U64" s="539">
        <f t="shared" si="19"/>
        <v>0</v>
      </c>
      <c r="V64" s="539">
        <f t="shared" si="19"/>
        <v>0</v>
      </c>
      <c r="W64" s="539">
        <f t="shared" si="19"/>
        <v>0</v>
      </c>
      <c r="X64" s="539">
        <f t="shared" si="19"/>
        <v>0</v>
      </c>
      <c r="Y64" s="539">
        <f t="shared" si="19"/>
        <v>0</v>
      </c>
      <c r="Z64" s="539">
        <f t="shared" si="19"/>
        <v>0</v>
      </c>
      <c r="AA64" s="539">
        <f t="shared" si="19"/>
        <v>0</v>
      </c>
      <c r="AB64" s="539">
        <f t="shared" si="19"/>
        <v>0</v>
      </c>
      <c r="AC64" s="539">
        <f t="shared" si="19"/>
        <v>0</v>
      </c>
      <c r="AD64" s="539">
        <f t="shared" si="19"/>
        <v>0</v>
      </c>
      <c r="AE64" s="539">
        <f t="shared" si="19"/>
        <v>0</v>
      </c>
      <c r="AF64" s="539">
        <f t="shared" si="20"/>
        <v>0</v>
      </c>
      <c r="AG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row>
    <row r="65" spans="1:64">
      <c r="A65" s="527" t="s">
        <v>697</v>
      </c>
      <c r="B65" s="527" t="s">
        <v>824</v>
      </c>
      <c r="C65" s="527" t="s">
        <v>24</v>
      </c>
      <c r="D65" s="527" t="s">
        <v>0</v>
      </c>
      <c r="E65" s="525" t="s">
        <v>39</v>
      </c>
      <c r="F65" s="526">
        <f>IFERROR(HLOOKUP(C65,'4.Team'!$CI$33:$DB$47,VLOOKUP(A65,$A$705:$B$714,2,FALSE),FALSE),0)</f>
        <v>0</v>
      </c>
      <c r="G65" s="526">
        <f t="shared" si="1"/>
        <v>0</v>
      </c>
      <c r="H65" s="525">
        <f>IFERROR(VLOOKUP($B65,'3.Tasks'!$BK$4:$BO$23,2,FALSE),0)</f>
        <v>0</v>
      </c>
      <c r="I65" s="529">
        <f t="shared" si="2"/>
        <v>0</v>
      </c>
      <c r="J65" s="529">
        <f>IFERROR(VLOOKUP($B65,'3.Tasks'!$BK$4:$BO$23,3,FALSE),0)</f>
        <v>0</v>
      </c>
      <c r="K65" s="529">
        <f t="shared" si="3"/>
        <v>0</v>
      </c>
      <c r="L65" s="529">
        <f>IFERROR(VLOOKUP($B65,'3.Tasks'!$BK$4:$BO$23,4,FALSE),0)</f>
        <v>0</v>
      </c>
      <c r="M65" s="529">
        <f t="shared" si="4"/>
        <v>0</v>
      </c>
      <c r="N65" s="529">
        <f>IFERROR(VLOOKUP($B65,'3.Tasks'!$BK$4:$BO$23,5,FALSE),0)</f>
        <v>0</v>
      </c>
      <c r="O65" s="529">
        <f t="shared" si="5"/>
        <v>0</v>
      </c>
      <c r="P65" s="530">
        <f t="shared" si="6"/>
        <v>0</v>
      </c>
      <c r="S65" s="555"/>
      <c r="T65" s="556" t="s">
        <v>45</v>
      </c>
      <c r="U65" s="557">
        <f>SUM(U45:U64)</f>
        <v>0</v>
      </c>
      <c r="V65" s="557">
        <f t="shared" ref="V65:AF65" si="21">SUM(V45:V64)</f>
        <v>0</v>
      </c>
      <c r="W65" s="557">
        <f t="shared" si="21"/>
        <v>0</v>
      </c>
      <c r="X65" s="557">
        <f t="shared" si="21"/>
        <v>0</v>
      </c>
      <c r="Y65" s="557">
        <f t="shared" si="21"/>
        <v>0</v>
      </c>
      <c r="Z65" s="557">
        <f t="shared" si="21"/>
        <v>0</v>
      </c>
      <c r="AA65" s="557">
        <f t="shared" si="21"/>
        <v>0</v>
      </c>
      <c r="AB65" s="557">
        <f t="shared" si="21"/>
        <v>0</v>
      </c>
      <c r="AC65" s="557">
        <f t="shared" si="21"/>
        <v>0</v>
      </c>
      <c r="AD65" s="557">
        <f t="shared" si="21"/>
        <v>0</v>
      </c>
      <c r="AE65" s="557">
        <f t="shared" si="21"/>
        <v>0</v>
      </c>
      <c r="AF65" s="557">
        <f t="shared" si="21"/>
        <v>0</v>
      </c>
      <c r="AG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row>
    <row r="66" spans="1:64">
      <c r="A66" s="527" t="s">
        <v>698</v>
      </c>
      <c r="B66" s="527" t="s">
        <v>824</v>
      </c>
      <c r="C66" s="527" t="s">
        <v>24</v>
      </c>
      <c r="D66" s="527" t="s">
        <v>0</v>
      </c>
      <c r="E66" s="525" t="s">
        <v>39</v>
      </c>
      <c r="F66" s="526">
        <f>IFERROR(HLOOKUP(C66,'4.Team'!$CI$33:$DB$47,VLOOKUP(A66,$A$705:$B$714,2,FALSE),FALSE),0)</f>
        <v>0</v>
      </c>
      <c r="G66" s="526">
        <f t="shared" si="1"/>
        <v>0</v>
      </c>
      <c r="H66" s="525">
        <f>IFERROR(VLOOKUP($B66,'3.Tasks'!$BK$4:$BO$23,2,FALSE),0)</f>
        <v>0</v>
      </c>
      <c r="I66" s="529">
        <f t="shared" si="2"/>
        <v>0</v>
      </c>
      <c r="J66" s="529">
        <f>IFERROR(VLOOKUP($B66,'3.Tasks'!$BK$4:$BO$23,3,FALSE),0)</f>
        <v>0</v>
      </c>
      <c r="K66" s="529">
        <f t="shared" si="3"/>
        <v>0</v>
      </c>
      <c r="L66" s="529">
        <f>IFERROR(VLOOKUP($B66,'3.Tasks'!$BK$4:$BO$23,4,FALSE),0)</f>
        <v>0</v>
      </c>
      <c r="M66" s="529">
        <f t="shared" si="4"/>
        <v>0</v>
      </c>
      <c r="N66" s="529">
        <f>IFERROR(VLOOKUP($B66,'3.Tasks'!$BK$4:$BO$23,5,FALSE),0)</f>
        <v>0</v>
      </c>
      <c r="O66" s="529">
        <f t="shared" si="5"/>
        <v>0</v>
      </c>
      <c r="P66" s="530">
        <f t="shared" si="6"/>
        <v>0</v>
      </c>
      <c r="AG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row>
    <row r="67" spans="1:64">
      <c r="A67" s="527" t="s">
        <v>699</v>
      </c>
      <c r="B67" s="527" t="s">
        <v>824</v>
      </c>
      <c r="C67" s="527" t="s">
        <v>24</v>
      </c>
      <c r="D67" s="527" t="s">
        <v>0</v>
      </c>
      <c r="E67" s="525" t="s">
        <v>39</v>
      </c>
      <c r="F67" s="526">
        <f>IFERROR(HLOOKUP(C67,'4.Team'!$CI$33:$DB$47,VLOOKUP(A67,$A$705:$B$714,2,FALSE),FALSE),0)</f>
        <v>0</v>
      </c>
      <c r="G67" s="526">
        <f t="shared" ref="G67:G130" si="22">IFERROR((H67+J67+L67+N67),0)</f>
        <v>0</v>
      </c>
      <c r="H67" s="525">
        <f>IFERROR(VLOOKUP($B67,'3.Tasks'!$BK$4:$BO$23,2,FALSE),0)</f>
        <v>0</v>
      </c>
      <c r="I67" s="529">
        <f t="shared" ref="I67:I130" si="23">IFERROR(($F67/$G67*H67),0)</f>
        <v>0</v>
      </c>
      <c r="J67" s="529">
        <f>IFERROR(VLOOKUP($B67,'3.Tasks'!$BK$4:$BO$23,3,FALSE),0)</f>
        <v>0</v>
      </c>
      <c r="K67" s="529">
        <f t="shared" ref="K67:K130" si="24">IFERROR(($F67/$G67*J67),0)</f>
        <v>0</v>
      </c>
      <c r="L67" s="529">
        <f>IFERROR(VLOOKUP($B67,'3.Tasks'!$BK$4:$BO$23,4,FALSE),0)</f>
        <v>0</v>
      </c>
      <c r="M67" s="529">
        <f t="shared" ref="M67:M130" si="25">IFERROR(($F67/$G67*L67),0)</f>
        <v>0</v>
      </c>
      <c r="N67" s="529">
        <f>IFERROR(VLOOKUP($B67,'3.Tasks'!$BK$4:$BO$23,5,FALSE),0)</f>
        <v>0</v>
      </c>
      <c r="O67" s="529">
        <f t="shared" ref="O67:O130" si="26">IFERROR(($F67/$G67*N67),0)</f>
        <v>0</v>
      </c>
      <c r="P67" s="530">
        <f t="shared" ref="P67:P130" si="27">+F67-I67-K67-M67-O67</f>
        <v>0</v>
      </c>
      <c r="S67" s="516" t="s">
        <v>97</v>
      </c>
      <c r="T67" s="110"/>
      <c r="U67" s="110"/>
      <c r="V67" s="110"/>
      <c r="W67" s="110"/>
      <c r="X67" s="110"/>
      <c r="Y67" s="110"/>
      <c r="Z67" s="110"/>
      <c r="AA67" s="110"/>
      <c r="AB67" s="110"/>
      <c r="AC67" s="120"/>
      <c r="AD67" s="110"/>
      <c r="AE67" s="110"/>
      <c r="AF67" s="110"/>
      <c r="AG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row>
    <row r="68" spans="1:64">
      <c r="A68" s="527" t="s">
        <v>700</v>
      </c>
      <c r="B68" s="527" t="s">
        <v>824</v>
      </c>
      <c r="C68" s="527" t="s">
        <v>24</v>
      </c>
      <c r="D68" s="527" t="s">
        <v>0</v>
      </c>
      <c r="E68" s="525" t="s">
        <v>39</v>
      </c>
      <c r="F68" s="526">
        <f>IFERROR(HLOOKUP(C68,'4.Team'!$CI$33:$DB$47,VLOOKUP(A68,$A$705:$B$714,2,FALSE),FALSE),0)</f>
        <v>0</v>
      </c>
      <c r="G68" s="526">
        <f t="shared" si="22"/>
        <v>0</v>
      </c>
      <c r="H68" s="525">
        <f>IFERROR(VLOOKUP($B68,'3.Tasks'!$BK$4:$BO$23,2,FALSE),0)</f>
        <v>0</v>
      </c>
      <c r="I68" s="529">
        <f t="shared" si="23"/>
        <v>0</v>
      </c>
      <c r="J68" s="529">
        <f>IFERROR(VLOOKUP($B68,'3.Tasks'!$BK$4:$BO$23,3,FALSE),0)</f>
        <v>0</v>
      </c>
      <c r="K68" s="529">
        <f t="shared" si="24"/>
        <v>0</v>
      </c>
      <c r="L68" s="529">
        <f>IFERROR(VLOOKUP($B68,'3.Tasks'!$BK$4:$BO$23,4,FALSE),0)</f>
        <v>0</v>
      </c>
      <c r="M68" s="529">
        <f t="shared" si="25"/>
        <v>0</v>
      </c>
      <c r="N68" s="529">
        <f>IFERROR(VLOOKUP($B68,'3.Tasks'!$BK$4:$BO$23,5,FALSE),0)</f>
        <v>0</v>
      </c>
      <c r="O68" s="529">
        <f t="shared" si="26"/>
        <v>0</v>
      </c>
      <c r="P68" s="530">
        <f t="shared" si="27"/>
        <v>0</v>
      </c>
      <c r="S68" s="516" t="str">
        <f>+Info!B1</f>
        <v>Ficheiro Apoio_LUMP SUM_V2026.02.24</v>
      </c>
      <c r="T68" s="110"/>
      <c r="U68" s="110"/>
      <c r="V68" s="110"/>
      <c r="W68" s="110"/>
      <c r="X68" s="110"/>
      <c r="Y68" s="110"/>
      <c r="Z68" s="110"/>
      <c r="AA68" s="110"/>
      <c r="AB68" s="110"/>
      <c r="AC68" s="120"/>
      <c r="AD68" s="110"/>
      <c r="AE68" s="110"/>
      <c r="AF68" s="110"/>
      <c r="AG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row>
    <row r="69" spans="1:64">
      <c r="A69" s="527" t="s">
        <v>701</v>
      </c>
      <c r="B69" s="527" t="s">
        <v>824</v>
      </c>
      <c r="C69" s="527" t="s">
        <v>24</v>
      </c>
      <c r="D69" s="527" t="s">
        <v>0</v>
      </c>
      <c r="E69" s="525" t="s">
        <v>39</v>
      </c>
      <c r="F69" s="526">
        <f>IFERROR(HLOOKUP(C69,'4.Team'!$CI$33:$DB$47,VLOOKUP(A69,$A$705:$B$714,2,FALSE),FALSE),0)</f>
        <v>0</v>
      </c>
      <c r="G69" s="526">
        <f t="shared" si="22"/>
        <v>0</v>
      </c>
      <c r="H69" s="525">
        <f>IFERROR(VLOOKUP($B69,'3.Tasks'!$BK$4:$BO$23,2,FALSE),0)</f>
        <v>0</v>
      </c>
      <c r="I69" s="529">
        <f t="shared" si="23"/>
        <v>0</v>
      </c>
      <c r="J69" s="529">
        <f>IFERROR(VLOOKUP($B69,'3.Tasks'!$BK$4:$BO$23,3,FALSE),0)</f>
        <v>0</v>
      </c>
      <c r="K69" s="529">
        <f t="shared" si="24"/>
        <v>0</v>
      </c>
      <c r="L69" s="529">
        <f>IFERROR(VLOOKUP($B69,'3.Tasks'!$BK$4:$BO$23,4,FALSE),0)</f>
        <v>0</v>
      </c>
      <c r="M69" s="529">
        <f t="shared" si="25"/>
        <v>0</v>
      </c>
      <c r="N69" s="529">
        <f>IFERROR(VLOOKUP($B69,'3.Tasks'!$BK$4:$BO$23,5,FALSE),0)</f>
        <v>0</v>
      </c>
      <c r="O69" s="529">
        <f t="shared" si="26"/>
        <v>0</v>
      </c>
      <c r="P69" s="530">
        <f t="shared" si="27"/>
        <v>0</v>
      </c>
      <c r="T69" s="110"/>
      <c r="U69" s="110"/>
      <c r="V69" s="110"/>
      <c r="W69" s="110"/>
      <c r="X69" s="110"/>
      <c r="Y69" s="110"/>
      <c r="Z69" s="110"/>
      <c r="AA69" s="110"/>
      <c r="AB69" s="110"/>
      <c r="AC69" s="120"/>
      <c r="AD69" s="110"/>
      <c r="AE69" s="110"/>
      <c r="AF69" s="110"/>
      <c r="AG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row>
    <row r="70" spans="1:64">
      <c r="A70" s="527" t="s">
        <v>702</v>
      </c>
      <c r="B70" s="527" t="s">
        <v>824</v>
      </c>
      <c r="C70" s="527" t="s">
        <v>24</v>
      </c>
      <c r="D70" s="527" t="s">
        <v>0</v>
      </c>
      <c r="E70" s="525" t="s">
        <v>39</v>
      </c>
      <c r="F70" s="526">
        <f>IFERROR(HLOOKUP(C70,'4.Team'!$CI$33:$DB$47,VLOOKUP(A70,$A$705:$B$714,2,FALSE),FALSE),0)</f>
        <v>0</v>
      </c>
      <c r="G70" s="526">
        <f t="shared" si="22"/>
        <v>0</v>
      </c>
      <c r="H70" s="525">
        <f>IFERROR(VLOOKUP($B70,'3.Tasks'!$BK$4:$BO$23,2,FALSE),0)</f>
        <v>0</v>
      </c>
      <c r="I70" s="529">
        <f t="shared" si="23"/>
        <v>0</v>
      </c>
      <c r="J70" s="529">
        <f>IFERROR(VLOOKUP($B70,'3.Tasks'!$BK$4:$BO$23,3,FALSE),0)</f>
        <v>0</v>
      </c>
      <c r="K70" s="529">
        <f t="shared" si="24"/>
        <v>0</v>
      </c>
      <c r="L70" s="529">
        <f>IFERROR(VLOOKUP($B70,'3.Tasks'!$BK$4:$BO$23,4,FALSE),0)</f>
        <v>0</v>
      </c>
      <c r="M70" s="529">
        <f t="shared" si="25"/>
        <v>0</v>
      </c>
      <c r="N70" s="529">
        <f>IFERROR(VLOOKUP($B70,'3.Tasks'!$BK$4:$BO$23,5,FALSE),0)</f>
        <v>0</v>
      </c>
      <c r="O70" s="529">
        <f t="shared" si="26"/>
        <v>0</v>
      </c>
      <c r="P70" s="530">
        <f t="shared" si="27"/>
        <v>0</v>
      </c>
      <c r="T70" s="112"/>
      <c r="U70" s="110"/>
      <c r="V70" s="110"/>
      <c r="W70" s="110"/>
      <c r="X70" s="110"/>
      <c r="Y70" s="110"/>
      <c r="Z70" s="110"/>
      <c r="AA70" s="110"/>
      <c r="AB70" s="110"/>
      <c r="AC70" s="120"/>
      <c r="AD70" s="110"/>
      <c r="AE70" s="110"/>
      <c r="AF70" s="110"/>
      <c r="AG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row>
    <row r="71" spans="1:64">
      <c r="A71" s="527" t="s">
        <v>703</v>
      </c>
      <c r="B71" s="527" t="s">
        <v>824</v>
      </c>
      <c r="C71" s="527" t="s">
        <v>24</v>
      </c>
      <c r="D71" s="527" t="s">
        <v>0</v>
      </c>
      <c r="E71" s="525" t="s">
        <v>39</v>
      </c>
      <c r="F71" s="526">
        <f>IFERROR(HLOOKUP(C71,'4.Team'!$CI$33:$DB$47,VLOOKUP(A71,$A$705:$B$714,2,FALSE),FALSE),0)</f>
        <v>0</v>
      </c>
      <c r="G71" s="526">
        <f t="shared" si="22"/>
        <v>0</v>
      </c>
      <c r="H71" s="525">
        <f>IFERROR(VLOOKUP($B71,'3.Tasks'!$BK$4:$BO$23,2,FALSE),0)</f>
        <v>0</v>
      </c>
      <c r="I71" s="529">
        <f t="shared" si="23"/>
        <v>0</v>
      </c>
      <c r="J71" s="529">
        <f>IFERROR(VLOOKUP($B71,'3.Tasks'!$BK$4:$BO$23,3,FALSE),0)</f>
        <v>0</v>
      </c>
      <c r="K71" s="529">
        <f t="shared" si="24"/>
        <v>0</v>
      </c>
      <c r="L71" s="529">
        <f>IFERROR(VLOOKUP($B71,'3.Tasks'!$BK$4:$BO$23,4,FALSE),0)</f>
        <v>0</v>
      </c>
      <c r="M71" s="529">
        <f t="shared" si="25"/>
        <v>0</v>
      </c>
      <c r="N71" s="529">
        <f>IFERROR(VLOOKUP($B71,'3.Tasks'!$BK$4:$BO$23,5,FALSE),0)</f>
        <v>0</v>
      </c>
      <c r="O71" s="529">
        <f t="shared" si="26"/>
        <v>0</v>
      </c>
      <c r="P71" s="530">
        <f t="shared" si="27"/>
        <v>0</v>
      </c>
      <c r="T71" s="110"/>
      <c r="U71" s="110"/>
      <c r="V71" s="110"/>
      <c r="W71" s="110"/>
      <c r="X71" s="110"/>
      <c r="Y71" s="110"/>
      <c r="Z71" s="110"/>
      <c r="AA71" s="110"/>
      <c r="AB71" s="110"/>
      <c r="AC71" s="120"/>
      <c r="AD71" s="110"/>
      <c r="AE71" s="110"/>
      <c r="AF71" s="110"/>
      <c r="AG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row>
    <row r="72" spans="1:64">
      <c r="A72" s="527" t="s">
        <v>694</v>
      </c>
      <c r="B72" s="527" t="s">
        <v>825</v>
      </c>
      <c r="C72" s="527" t="s">
        <v>25</v>
      </c>
      <c r="D72" s="527" t="s">
        <v>0</v>
      </c>
      <c r="E72" s="525" t="s">
        <v>39</v>
      </c>
      <c r="F72" s="526">
        <f>IFERROR(HLOOKUP(C72,'4.Team'!$CI$33:$DB$47,VLOOKUP(A72,$A$705:$B$714,2,FALSE),FALSE),0)</f>
        <v>0</v>
      </c>
      <c r="G72" s="526">
        <f t="shared" si="22"/>
        <v>0</v>
      </c>
      <c r="H72" s="525">
        <f>IFERROR(VLOOKUP($B72,'3.Tasks'!$BK$4:$BO$23,2,FALSE),0)</f>
        <v>0</v>
      </c>
      <c r="I72" s="529">
        <f t="shared" si="23"/>
        <v>0</v>
      </c>
      <c r="J72" s="529">
        <f>IFERROR(VLOOKUP($B72,'3.Tasks'!$BK$4:$BO$23,3,FALSE),0)</f>
        <v>0</v>
      </c>
      <c r="K72" s="529">
        <f t="shared" si="24"/>
        <v>0</v>
      </c>
      <c r="L72" s="529">
        <f>IFERROR(VLOOKUP($B72,'3.Tasks'!$BK$4:$BO$23,4,FALSE),0)</f>
        <v>0</v>
      </c>
      <c r="M72" s="529">
        <f t="shared" si="25"/>
        <v>0</v>
      </c>
      <c r="N72" s="529">
        <f>IFERROR(VLOOKUP($B72,'3.Tasks'!$BK$4:$BO$23,5,FALSE),0)</f>
        <v>0</v>
      </c>
      <c r="O72" s="529">
        <f t="shared" si="26"/>
        <v>0</v>
      </c>
      <c r="P72" s="530">
        <f t="shared" si="27"/>
        <v>0</v>
      </c>
      <c r="T72" s="110"/>
      <c r="U72" s="110"/>
      <c r="V72" s="110"/>
      <c r="W72" s="110"/>
      <c r="X72" s="110"/>
      <c r="Y72" s="110"/>
      <c r="Z72" s="110"/>
      <c r="AA72" s="110"/>
      <c r="AB72" s="110"/>
      <c r="AC72" s="120"/>
      <c r="AD72" s="110"/>
      <c r="AE72" s="110"/>
      <c r="AF72" s="110"/>
      <c r="AG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row>
    <row r="73" spans="1:64">
      <c r="A73" s="527" t="s">
        <v>695</v>
      </c>
      <c r="B73" s="527" t="s">
        <v>825</v>
      </c>
      <c r="C73" s="527" t="s">
        <v>25</v>
      </c>
      <c r="D73" s="527" t="s">
        <v>0</v>
      </c>
      <c r="E73" s="525" t="s">
        <v>39</v>
      </c>
      <c r="F73" s="526">
        <f>IFERROR(HLOOKUP(C73,'4.Team'!$CI$33:$DB$47,VLOOKUP(A73,$A$705:$B$714,2,FALSE),FALSE),0)</f>
        <v>0</v>
      </c>
      <c r="G73" s="526">
        <f t="shared" si="22"/>
        <v>0</v>
      </c>
      <c r="H73" s="525">
        <f>IFERROR(VLOOKUP($B73,'3.Tasks'!$BK$4:$BO$23,2,FALSE),0)</f>
        <v>0</v>
      </c>
      <c r="I73" s="529">
        <f t="shared" si="23"/>
        <v>0</v>
      </c>
      <c r="J73" s="529">
        <f>IFERROR(VLOOKUP($B73,'3.Tasks'!$BK$4:$BO$23,3,FALSE),0)</f>
        <v>0</v>
      </c>
      <c r="K73" s="529">
        <f t="shared" si="24"/>
        <v>0</v>
      </c>
      <c r="L73" s="529">
        <f>IFERROR(VLOOKUP($B73,'3.Tasks'!$BK$4:$BO$23,4,FALSE),0)</f>
        <v>0</v>
      </c>
      <c r="M73" s="529">
        <f t="shared" si="25"/>
        <v>0</v>
      </c>
      <c r="N73" s="529">
        <f>IFERROR(VLOOKUP($B73,'3.Tasks'!$BK$4:$BO$23,5,FALSE),0)</f>
        <v>0</v>
      </c>
      <c r="O73" s="529">
        <f t="shared" si="26"/>
        <v>0</v>
      </c>
      <c r="P73" s="530">
        <f t="shared" si="27"/>
        <v>0</v>
      </c>
      <c r="T73" s="110"/>
      <c r="U73" s="110"/>
      <c r="V73" s="110"/>
      <c r="W73" s="110"/>
      <c r="X73" s="110"/>
      <c r="Y73" s="110"/>
      <c r="Z73" s="110"/>
      <c r="AA73" s="110"/>
      <c r="AB73" s="110"/>
      <c r="AC73" s="120"/>
      <c r="AD73" s="110"/>
      <c r="AE73" s="110"/>
      <c r="AF73" s="110"/>
      <c r="AG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row>
    <row r="74" spans="1:64">
      <c r="A74" s="527" t="s">
        <v>696</v>
      </c>
      <c r="B74" s="527" t="s">
        <v>825</v>
      </c>
      <c r="C74" s="527" t="s">
        <v>25</v>
      </c>
      <c r="D74" s="527" t="s">
        <v>0</v>
      </c>
      <c r="E74" s="525" t="s">
        <v>39</v>
      </c>
      <c r="F74" s="526">
        <f>IFERROR(HLOOKUP(C74,'4.Team'!$CI$33:$DB$47,VLOOKUP(A74,$A$705:$B$714,2,FALSE),FALSE),0)</f>
        <v>0</v>
      </c>
      <c r="G74" s="526">
        <f t="shared" si="22"/>
        <v>0</v>
      </c>
      <c r="H74" s="525">
        <f>IFERROR(VLOOKUP($B74,'3.Tasks'!$BK$4:$BO$23,2,FALSE),0)</f>
        <v>0</v>
      </c>
      <c r="I74" s="529">
        <f t="shared" si="23"/>
        <v>0</v>
      </c>
      <c r="J74" s="529">
        <f>IFERROR(VLOOKUP($B74,'3.Tasks'!$BK$4:$BO$23,3,FALSE),0)</f>
        <v>0</v>
      </c>
      <c r="K74" s="529">
        <f t="shared" si="24"/>
        <v>0</v>
      </c>
      <c r="L74" s="529">
        <f>IFERROR(VLOOKUP($B74,'3.Tasks'!$BK$4:$BO$23,4,FALSE),0)</f>
        <v>0</v>
      </c>
      <c r="M74" s="529">
        <f t="shared" si="25"/>
        <v>0</v>
      </c>
      <c r="N74" s="529">
        <f>IFERROR(VLOOKUP($B74,'3.Tasks'!$BK$4:$BO$23,5,FALSE),0)</f>
        <v>0</v>
      </c>
      <c r="O74" s="529">
        <f t="shared" si="26"/>
        <v>0</v>
      </c>
      <c r="P74" s="530">
        <f t="shared" si="27"/>
        <v>0</v>
      </c>
      <c r="T74" s="110"/>
      <c r="U74" s="110"/>
      <c r="V74" s="110"/>
      <c r="W74" s="110"/>
      <c r="X74" s="110"/>
      <c r="Y74" s="110"/>
      <c r="Z74" s="110"/>
      <c r="AA74" s="110"/>
      <c r="AB74" s="110"/>
      <c r="AC74" s="120"/>
      <c r="AD74" s="110"/>
      <c r="AE74" s="110"/>
      <c r="AF74" s="110"/>
      <c r="AG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row>
    <row r="75" spans="1:64">
      <c r="A75" s="527" t="s">
        <v>697</v>
      </c>
      <c r="B75" s="527" t="s">
        <v>825</v>
      </c>
      <c r="C75" s="527" t="s">
        <v>25</v>
      </c>
      <c r="D75" s="527" t="s">
        <v>0</v>
      </c>
      <c r="E75" s="525" t="s">
        <v>39</v>
      </c>
      <c r="F75" s="526">
        <f>IFERROR(HLOOKUP(C75,'4.Team'!$CI$33:$DB$47,VLOOKUP(A75,$A$705:$B$714,2,FALSE),FALSE),0)</f>
        <v>0</v>
      </c>
      <c r="G75" s="526">
        <f t="shared" si="22"/>
        <v>0</v>
      </c>
      <c r="H75" s="525">
        <f>IFERROR(VLOOKUP($B75,'3.Tasks'!$BK$4:$BO$23,2,FALSE),0)</f>
        <v>0</v>
      </c>
      <c r="I75" s="529">
        <f t="shared" si="23"/>
        <v>0</v>
      </c>
      <c r="J75" s="529">
        <f>IFERROR(VLOOKUP($B75,'3.Tasks'!$BK$4:$BO$23,3,FALSE),0)</f>
        <v>0</v>
      </c>
      <c r="K75" s="529">
        <f t="shared" si="24"/>
        <v>0</v>
      </c>
      <c r="L75" s="529">
        <f>IFERROR(VLOOKUP($B75,'3.Tasks'!$BK$4:$BO$23,4,FALSE),0)</f>
        <v>0</v>
      </c>
      <c r="M75" s="529">
        <f t="shared" si="25"/>
        <v>0</v>
      </c>
      <c r="N75" s="529">
        <f>IFERROR(VLOOKUP($B75,'3.Tasks'!$BK$4:$BO$23,5,FALSE),0)</f>
        <v>0</v>
      </c>
      <c r="O75" s="529">
        <f t="shared" si="26"/>
        <v>0</v>
      </c>
      <c r="P75" s="530">
        <f t="shared" si="27"/>
        <v>0</v>
      </c>
      <c r="T75" s="110"/>
      <c r="U75" s="110"/>
      <c r="V75" s="110"/>
      <c r="W75" s="110"/>
      <c r="X75" s="110"/>
      <c r="Y75" s="110"/>
      <c r="Z75" s="110"/>
      <c r="AA75" s="110"/>
      <c r="AB75" s="110"/>
      <c r="AC75" s="120"/>
      <c r="AD75" s="110"/>
      <c r="AE75" s="110"/>
      <c r="AF75" s="110"/>
      <c r="AG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row>
    <row r="76" spans="1:64">
      <c r="A76" s="527" t="s">
        <v>698</v>
      </c>
      <c r="B76" s="527" t="s">
        <v>825</v>
      </c>
      <c r="C76" s="527" t="s">
        <v>25</v>
      </c>
      <c r="D76" s="527" t="s">
        <v>0</v>
      </c>
      <c r="E76" s="525" t="s">
        <v>39</v>
      </c>
      <c r="F76" s="526">
        <f>IFERROR(HLOOKUP(C76,'4.Team'!$CI$33:$DB$47,VLOOKUP(A76,$A$705:$B$714,2,FALSE),FALSE),0)</f>
        <v>0</v>
      </c>
      <c r="G76" s="526">
        <f t="shared" si="22"/>
        <v>0</v>
      </c>
      <c r="H76" s="525">
        <f>IFERROR(VLOOKUP($B76,'3.Tasks'!$BK$4:$BO$23,2,FALSE),0)</f>
        <v>0</v>
      </c>
      <c r="I76" s="529">
        <f t="shared" si="23"/>
        <v>0</v>
      </c>
      <c r="J76" s="529">
        <f>IFERROR(VLOOKUP($B76,'3.Tasks'!$BK$4:$BO$23,3,FALSE),0)</f>
        <v>0</v>
      </c>
      <c r="K76" s="529">
        <f t="shared" si="24"/>
        <v>0</v>
      </c>
      <c r="L76" s="529">
        <f>IFERROR(VLOOKUP($B76,'3.Tasks'!$BK$4:$BO$23,4,FALSE),0)</f>
        <v>0</v>
      </c>
      <c r="M76" s="529">
        <f t="shared" si="25"/>
        <v>0</v>
      </c>
      <c r="N76" s="529">
        <f>IFERROR(VLOOKUP($B76,'3.Tasks'!$BK$4:$BO$23,5,FALSE),0)</f>
        <v>0</v>
      </c>
      <c r="O76" s="529">
        <f t="shared" si="26"/>
        <v>0</v>
      </c>
      <c r="P76" s="530">
        <f t="shared" si="27"/>
        <v>0</v>
      </c>
      <c r="T76" s="110"/>
      <c r="U76" s="110"/>
      <c r="V76" s="110"/>
      <c r="W76" s="110"/>
      <c r="X76" s="110"/>
      <c r="Y76" s="110"/>
      <c r="Z76" s="110"/>
      <c r="AA76" s="110"/>
      <c r="AB76" s="110"/>
      <c r="AC76" s="120"/>
      <c r="AD76" s="110"/>
      <c r="AE76" s="110"/>
      <c r="AF76" s="110"/>
      <c r="AG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row>
    <row r="77" spans="1:64">
      <c r="A77" s="527" t="s">
        <v>699</v>
      </c>
      <c r="B77" s="527" t="s">
        <v>825</v>
      </c>
      <c r="C77" s="527" t="s">
        <v>25</v>
      </c>
      <c r="D77" s="527" t="s">
        <v>0</v>
      </c>
      <c r="E77" s="525" t="s">
        <v>39</v>
      </c>
      <c r="F77" s="526">
        <f>IFERROR(HLOOKUP(C77,'4.Team'!$CI$33:$DB$47,VLOOKUP(A77,$A$705:$B$714,2,FALSE),FALSE),0)</f>
        <v>0</v>
      </c>
      <c r="G77" s="526">
        <f t="shared" si="22"/>
        <v>0</v>
      </c>
      <c r="H77" s="525">
        <f>IFERROR(VLOOKUP($B77,'3.Tasks'!$BK$4:$BO$23,2,FALSE),0)</f>
        <v>0</v>
      </c>
      <c r="I77" s="529">
        <f t="shared" si="23"/>
        <v>0</v>
      </c>
      <c r="J77" s="529">
        <f>IFERROR(VLOOKUP($B77,'3.Tasks'!$BK$4:$BO$23,3,FALSE),0)</f>
        <v>0</v>
      </c>
      <c r="K77" s="529">
        <f t="shared" si="24"/>
        <v>0</v>
      </c>
      <c r="L77" s="529">
        <f>IFERROR(VLOOKUP($B77,'3.Tasks'!$BK$4:$BO$23,4,FALSE),0)</f>
        <v>0</v>
      </c>
      <c r="M77" s="529">
        <f t="shared" si="25"/>
        <v>0</v>
      </c>
      <c r="N77" s="529">
        <f>IFERROR(VLOOKUP($B77,'3.Tasks'!$BK$4:$BO$23,5,FALSE),0)</f>
        <v>0</v>
      </c>
      <c r="O77" s="529">
        <f t="shared" si="26"/>
        <v>0</v>
      </c>
      <c r="P77" s="530">
        <f t="shared" si="27"/>
        <v>0</v>
      </c>
      <c r="T77" s="110"/>
      <c r="U77" s="110"/>
      <c r="V77" s="110"/>
      <c r="W77" s="110"/>
      <c r="X77" s="110"/>
      <c r="Y77" s="110"/>
      <c r="Z77" s="110"/>
      <c r="AA77" s="110"/>
      <c r="AB77" s="110"/>
      <c r="AC77" s="120"/>
      <c r="AD77" s="110"/>
      <c r="AE77" s="110"/>
      <c r="AF77" s="110"/>
      <c r="AG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row>
    <row r="78" spans="1:64">
      <c r="A78" s="527" t="s">
        <v>700</v>
      </c>
      <c r="B78" s="527" t="s">
        <v>825</v>
      </c>
      <c r="C78" s="527" t="s">
        <v>25</v>
      </c>
      <c r="D78" s="527" t="s">
        <v>0</v>
      </c>
      <c r="E78" s="525" t="s">
        <v>39</v>
      </c>
      <c r="F78" s="526">
        <f>IFERROR(HLOOKUP(C78,'4.Team'!$CI$33:$DB$47,VLOOKUP(A78,$A$705:$B$714,2,FALSE),FALSE),0)</f>
        <v>0</v>
      </c>
      <c r="G78" s="526">
        <f t="shared" si="22"/>
        <v>0</v>
      </c>
      <c r="H78" s="525">
        <f>IFERROR(VLOOKUP($B78,'3.Tasks'!$BK$4:$BO$23,2,FALSE),0)</f>
        <v>0</v>
      </c>
      <c r="I78" s="529">
        <f t="shared" si="23"/>
        <v>0</v>
      </c>
      <c r="J78" s="529">
        <f>IFERROR(VLOOKUP($B78,'3.Tasks'!$BK$4:$BO$23,3,FALSE),0)</f>
        <v>0</v>
      </c>
      <c r="K78" s="529">
        <f t="shared" si="24"/>
        <v>0</v>
      </c>
      <c r="L78" s="529">
        <f>IFERROR(VLOOKUP($B78,'3.Tasks'!$BK$4:$BO$23,4,FALSE),0)</f>
        <v>0</v>
      </c>
      <c r="M78" s="529">
        <f t="shared" si="25"/>
        <v>0</v>
      </c>
      <c r="N78" s="529">
        <f>IFERROR(VLOOKUP($B78,'3.Tasks'!$BK$4:$BO$23,5,FALSE),0)</f>
        <v>0</v>
      </c>
      <c r="O78" s="529">
        <f t="shared" si="26"/>
        <v>0</v>
      </c>
      <c r="P78" s="530">
        <f t="shared" si="27"/>
        <v>0</v>
      </c>
      <c r="T78" s="110"/>
      <c r="U78" s="110"/>
      <c r="V78" s="110"/>
      <c r="W78" s="110"/>
      <c r="X78" s="110"/>
      <c r="Y78" s="110"/>
      <c r="Z78" s="110"/>
      <c r="AA78" s="110"/>
      <c r="AB78" s="110"/>
      <c r="AC78" s="120"/>
      <c r="AD78" s="110"/>
      <c r="AE78" s="110"/>
      <c r="AF78" s="110"/>
      <c r="AG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row>
    <row r="79" spans="1:64">
      <c r="A79" s="527" t="s">
        <v>701</v>
      </c>
      <c r="B79" s="527" t="s">
        <v>825</v>
      </c>
      <c r="C79" s="527" t="s">
        <v>25</v>
      </c>
      <c r="D79" s="527" t="s">
        <v>0</v>
      </c>
      <c r="E79" s="525" t="s">
        <v>39</v>
      </c>
      <c r="F79" s="526">
        <f>IFERROR(HLOOKUP(C79,'4.Team'!$CI$33:$DB$47,VLOOKUP(A79,$A$705:$B$714,2,FALSE),FALSE),0)</f>
        <v>0</v>
      </c>
      <c r="G79" s="526">
        <f t="shared" si="22"/>
        <v>0</v>
      </c>
      <c r="H79" s="525">
        <f>IFERROR(VLOOKUP($B79,'3.Tasks'!$BK$4:$BO$23,2,FALSE),0)</f>
        <v>0</v>
      </c>
      <c r="I79" s="529">
        <f t="shared" si="23"/>
        <v>0</v>
      </c>
      <c r="J79" s="529">
        <f>IFERROR(VLOOKUP($B79,'3.Tasks'!$BK$4:$BO$23,3,FALSE),0)</f>
        <v>0</v>
      </c>
      <c r="K79" s="529">
        <f t="shared" si="24"/>
        <v>0</v>
      </c>
      <c r="L79" s="529">
        <f>IFERROR(VLOOKUP($B79,'3.Tasks'!$BK$4:$BO$23,4,FALSE),0)</f>
        <v>0</v>
      </c>
      <c r="M79" s="529">
        <f t="shared" si="25"/>
        <v>0</v>
      </c>
      <c r="N79" s="529">
        <f>IFERROR(VLOOKUP($B79,'3.Tasks'!$BK$4:$BO$23,5,FALSE),0)</f>
        <v>0</v>
      </c>
      <c r="O79" s="529">
        <f t="shared" si="26"/>
        <v>0</v>
      </c>
      <c r="P79" s="530">
        <f t="shared" si="27"/>
        <v>0</v>
      </c>
      <c r="T79" s="110"/>
      <c r="U79" s="110"/>
      <c r="V79" s="110"/>
      <c r="W79" s="110"/>
      <c r="X79" s="110"/>
      <c r="Y79" s="110"/>
      <c r="Z79" s="110"/>
      <c r="AA79" s="110"/>
      <c r="AB79" s="110"/>
      <c r="AC79" s="120"/>
      <c r="AD79" s="110"/>
      <c r="AE79" s="110"/>
      <c r="AF79" s="110"/>
      <c r="AG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row>
    <row r="80" spans="1:64">
      <c r="A80" s="527" t="s">
        <v>702</v>
      </c>
      <c r="B80" s="527" t="s">
        <v>825</v>
      </c>
      <c r="C80" s="527" t="s">
        <v>25</v>
      </c>
      <c r="D80" s="527" t="s">
        <v>0</v>
      </c>
      <c r="E80" s="525" t="s">
        <v>39</v>
      </c>
      <c r="F80" s="526">
        <f>IFERROR(HLOOKUP(C80,'4.Team'!$CI$33:$DB$47,VLOOKUP(A80,$A$705:$B$714,2,FALSE),FALSE),0)</f>
        <v>0</v>
      </c>
      <c r="G80" s="526">
        <f t="shared" si="22"/>
        <v>0</v>
      </c>
      <c r="H80" s="525">
        <f>IFERROR(VLOOKUP($B80,'3.Tasks'!$BK$4:$BO$23,2,FALSE),0)</f>
        <v>0</v>
      </c>
      <c r="I80" s="529">
        <f t="shared" si="23"/>
        <v>0</v>
      </c>
      <c r="J80" s="529">
        <f>IFERROR(VLOOKUP($B80,'3.Tasks'!$BK$4:$BO$23,3,FALSE),0)</f>
        <v>0</v>
      </c>
      <c r="K80" s="529">
        <f t="shared" si="24"/>
        <v>0</v>
      </c>
      <c r="L80" s="529">
        <f>IFERROR(VLOOKUP($B80,'3.Tasks'!$BK$4:$BO$23,4,FALSE),0)</f>
        <v>0</v>
      </c>
      <c r="M80" s="529">
        <f t="shared" si="25"/>
        <v>0</v>
      </c>
      <c r="N80" s="529">
        <f>IFERROR(VLOOKUP($B80,'3.Tasks'!$BK$4:$BO$23,5,FALSE),0)</f>
        <v>0</v>
      </c>
      <c r="O80" s="529">
        <f t="shared" si="26"/>
        <v>0</v>
      </c>
      <c r="P80" s="530">
        <f t="shared" si="27"/>
        <v>0</v>
      </c>
      <c r="T80" s="110"/>
      <c r="U80" s="110"/>
      <c r="V80" s="110"/>
      <c r="W80" s="110"/>
      <c r="X80" s="110"/>
      <c r="Y80" s="110"/>
      <c r="Z80" s="110"/>
      <c r="AA80" s="110"/>
      <c r="AB80" s="110"/>
      <c r="AC80" s="120"/>
      <c r="AD80" s="110"/>
      <c r="AE80" s="110"/>
      <c r="AF80" s="110"/>
      <c r="AG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row>
    <row r="81" spans="1:64">
      <c r="A81" s="527" t="s">
        <v>703</v>
      </c>
      <c r="B81" s="527" t="s">
        <v>825</v>
      </c>
      <c r="C81" s="527" t="s">
        <v>25</v>
      </c>
      <c r="D81" s="527" t="s">
        <v>0</v>
      </c>
      <c r="E81" s="525" t="s">
        <v>39</v>
      </c>
      <c r="F81" s="526">
        <f>IFERROR(HLOOKUP(C81,'4.Team'!$CI$33:$DB$47,VLOOKUP(A81,$A$705:$B$714,2,FALSE),FALSE),0)</f>
        <v>0</v>
      </c>
      <c r="G81" s="526">
        <f t="shared" si="22"/>
        <v>0</v>
      </c>
      <c r="H81" s="525">
        <f>IFERROR(VLOOKUP($B81,'3.Tasks'!$BK$4:$BO$23,2,FALSE),0)</f>
        <v>0</v>
      </c>
      <c r="I81" s="529">
        <f t="shared" si="23"/>
        <v>0</v>
      </c>
      <c r="J81" s="529">
        <f>IFERROR(VLOOKUP($B81,'3.Tasks'!$BK$4:$BO$23,3,FALSE),0)</f>
        <v>0</v>
      </c>
      <c r="K81" s="529">
        <f t="shared" si="24"/>
        <v>0</v>
      </c>
      <c r="L81" s="529">
        <f>IFERROR(VLOOKUP($B81,'3.Tasks'!$BK$4:$BO$23,4,FALSE),0)</f>
        <v>0</v>
      </c>
      <c r="M81" s="529">
        <f t="shared" si="25"/>
        <v>0</v>
      </c>
      <c r="N81" s="529">
        <f>IFERROR(VLOOKUP($B81,'3.Tasks'!$BK$4:$BO$23,5,FALSE),0)</f>
        <v>0</v>
      </c>
      <c r="O81" s="529">
        <f t="shared" si="26"/>
        <v>0</v>
      </c>
      <c r="P81" s="530">
        <f t="shared" si="27"/>
        <v>0</v>
      </c>
      <c r="T81" s="110"/>
      <c r="U81" s="110"/>
      <c r="V81" s="110"/>
      <c r="W81" s="110"/>
      <c r="X81" s="110"/>
      <c r="Y81" s="110"/>
      <c r="Z81" s="110"/>
      <c r="AA81" s="110"/>
      <c r="AB81" s="110"/>
      <c r="AC81" s="120"/>
      <c r="AD81" s="110"/>
      <c r="AE81" s="110"/>
      <c r="AF81" s="110"/>
      <c r="AG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row>
    <row r="82" spans="1:64">
      <c r="A82" s="527" t="s">
        <v>694</v>
      </c>
      <c r="B82" s="527" t="s">
        <v>826</v>
      </c>
      <c r="C82" s="527" t="s">
        <v>26</v>
      </c>
      <c r="D82" s="527" t="s">
        <v>0</v>
      </c>
      <c r="E82" s="525" t="s">
        <v>39</v>
      </c>
      <c r="F82" s="526">
        <f>IFERROR(HLOOKUP(C82,'4.Team'!$CI$33:$DB$47,VLOOKUP(A82,$A$705:$B$714,2,FALSE),FALSE),0)</f>
        <v>0</v>
      </c>
      <c r="G82" s="526">
        <f t="shared" si="22"/>
        <v>0</v>
      </c>
      <c r="H82" s="525">
        <f>IFERROR(VLOOKUP($B82,'3.Tasks'!$BK$4:$BO$23,2,FALSE),0)</f>
        <v>0</v>
      </c>
      <c r="I82" s="529">
        <f t="shared" si="23"/>
        <v>0</v>
      </c>
      <c r="J82" s="529">
        <f>IFERROR(VLOOKUP($B82,'3.Tasks'!$BK$4:$BO$23,3,FALSE),0)</f>
        <v>0</v>
      </c>
      <c r="K82" s="529">
        <f t="shared" si="24"/>
        <v>0</v>
      </c>
      <c r="L82" s="529">
        <f>IFERROR(VLOOKUP($B82,'3.Tasks'!$BK$4:$BO$23,4,FALSE),0)</f>
        <v>0</v>
      </c>
      <c r="M82" s="529">
        <f t="shared" si="25"/>
        <v>0</v>
      </c>
      <c r="N82" s="529">
        <f>IFERROR(VLOOKUP($B82,'3.Tasks'!$BK$4:$BO$23,5,FALSE),0)</f>
        <v>0</v>
      </c>
      <c r="O82" s="529">
        <f t="shared" si="26"/>
        <v>0</v>
      </c>
      <c r="P82" s="530">
        <f t="shared" si="27"/>
        <v>0</v>
      </c>
      <c r="T82" s="110"/>
      <c r="U82" s="110"/>
      <c r="V82" s="110"/>
      <c r="W82" s="110"/>
      <c r="X82" s="110"/>
      <c r="Y82" s="110"/>
      <c r="Z82" s="110"/>
      <c r="AA82" s="110"/>
      <c r="AB82" s="110"/>
      <c r="AC82" s="120"/>
      <c r="AD82" s="110"/>
      <c r="AE82" s="110"/>
      <c r="AF82" s="110"/>
      <c r="AG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row>
    <row r="83" spans="1:64">
      <c r="A83" s="527" t="s">
        <v>695</v>
      </c>
      <c r="B83" s="527" t="s">
        <v>826</v>
      </c>
      <c r="C83" s="527" t="s">
        <v>26</v>
      </c>
      <c r="D83" s="527" t="s">
        <v>0</v>
      </c>
      <c r="E83" s="525" t="s">
        <v>39</v>
      </c>
      <c r="F83" s="526">
        <f>IFERROR(HLOOKUP(C83,'4.Team'!$CI$33:$DB$47,VLOOKUP(A83,$A$705:$B$714,2,FALSE),FALSE),0)</f>
        <v>0</v>
      </c>
      <c r="G83" s="526">
        <f t="shared" si="22"/>
        <v>0</v>
      </c>
      <c r="H83" s="525">
        <f>IFERROR(VLOOKUP($B83,'3.Tasks'!$BK$4:$BO$23,2,FALSE),0)</f>
        <v>0</v>
      </c>
      <c r="I83" s="529">
        <f t="shared" si="23"/>
        <v>0</v>
      </c>
      <c r="J83" s="529">
        <f>IFERROR(VLOOKUP($B83,'3.Tasks'!$BK$4:$BO$23,3,FALSE),0)</f>
        <v>0</v>
      </c>
      <c r="K83" s="529">
        <f t="shared" si="24"/>
        <v>0</v>
      </c>
      <c r="L83" s="529">
        <f>IFERROR(VLOOKUP($B83,'3.Tasks'!$BK$4:$BO$23,4,FALSE),0)</f>
        <v>0</v>
      </c>
      <c r="M83" s="529">
        <f t="shared" si="25"/>
        <v>0</v>
      </c>
      <c r="N83" s="529">
        <f>IFERROR(VLOOKUP($B83,'3.Tasks'!$BK$4:$BO$23,5,FALSE),0)</f>
        <v>0</v>
      </c>
      <c r="O83" s="529">
        <f t="shared" si="26"/>
        <v>0</v>
      </c>
      <c r="P83" s="530">
        <f t="shared" si="27"/>
        <v>0</v>
      </c>
      <c r="T83" s="110"/>
      <c r="U83" s="110"/>
      <c r="V83" s="110"/>
      <c r="W83" s="110"/>
      <c r="X83" s="110"/>
      <c r="Y83" s="110"/>
      <c r="Z83" s="110"/>
      <c r="AA83" s="110"/>
      <c r="AB83" s="110"/>
      <c r="AC83" s="120"/>
      <c r="AD83" s="110"/>
      <c r="AE83" s="110"/>
      <c r="AF83" s="110"/>
      <c r="AG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row>
    <row r="84" spans="1:64">
      <c r="A84" s="527" t="s">
        <v>696</v>
      </c>
      <c r="B84" s="527" t="s">
        <v>826</v>
      </c>
      <c r="C84" s="527" t="s">
        <v>26</v>
      </c>
      <c r="D84" s="527" t="s">
        <v>0</v>
      </c>
      <c r="E84" s="525" t="s">
        <v>39</v>
      </c>
      <c r="F84" s="526">
        <f>IFERROR(HLOOKUP(C84,'4.Team'!$CI$33:$DB$47,VLOOKUP(A84,$A$705:$B$714,2,FALSE),FALSE),0)</f>
        <v>0</v>
      </c>
      <c r="G84" s="526">
        <f t="shared" si="22"/>
        <v>0</v>
      </c>
      <c r="H84" s="525">
        <f>IFERROR(VLOOKUP($B84,'3.Tasks'!$BK$4:$BO$23,2,FALSE),0)</f>
        <v>0</v>
      </c>
      <c r="I84" s="529">
        <f t="shared" si="23"/>
        <v>0</v>
      </c>
      <c r="J84" s="529">
        <f>IFERROR(VLOOKUP($B84,'3.Tasks'!$BK$4:$BO$23,3,FALSE),0)</f>
        <v>0</v>
      </c>
      <c r="K84" s="529">
        <f t="shared" si="24"/>
        <v>0</v>
      </c>
      <c r="L84" s="529">
        <f>IFERROR(VLOOKUP($B84,'3.Tasks'!$BK$4:$BO$23,4,FALSE),0)</f>
        <v>0</v>
      </c>
      <c r="M84" s="529">
        <f t="shared" si="25"/>
        <v>0</v>
      </c>
      <c r="N84" s="529">
        <f>IFERROR(VLOOKUP($B84,'3.Tasks'!$BK$4:$BO$23,5,FALSE),0)</f>
        <v>0</v>
      </c>
      <c r="O84" s="529">
        <f t="shared" si="26"/>
        <v>0</v>
      </c>
      <c r="P84" s="530">
        <f t="shared" si="27"/>
        <v>0</v>
      </c>
      <c r="T84" s="110"/>
      <c r="U84" s="110"/>
      <c r="V84" s="110"/>
      <c r="W84" s="110"/>
      <c r="X84" s="110"/>
      <c r="Y84" s="110"/>
      <c r="Z84" s="110"/>
      <c r="AA84" s="110"/>
      <c r="AB84" s="110"/>
      <c r="AC84" s="120"/>
      <c r="AD84" s="110"/>
      <c r="AE84" s="110"/>
      <c r="AF84" s="110"/>
      <c r="AG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row>
    <row r="85" spans="1:64">
      <c r="A85" s="527" t="s">
        <v>697</v>
      </c>
      <c r="B85" s="527" t="s">
        <v>826</v>
      </c>
      <c r="C85" s="527" t="s">
        <v>26</v>
      </c>
      <c r="D85" s="527" t="s">
        <v>0</v>
      </c>
      <c r="E85" s="525" t="s">
        <v>39</v>
      </c>
      <c r="F85" s="526">
        <f>IFERROR(HLOOKUP(C85,'4.Team'!$CI$33:$DB$47,VLOOKUP(A85,$A$705:$B$714,2,FALSE),FALSE),0)</f>
        <v>0</v>
      </c>
      <c r="G85" s="526">
        <f t="shared" si="22"/>
        <v>0</v>
      </c>
      <c r="H85" s="525">
        <f>IFERROR(VLOOKUP($B85,'3.Tasks'!$BK$4:$BO$23,2,FALSE),0)</f>
        <v>0</v>
      </c>
      <c r="I85" s="529">
        <f t="shared" si="23"/>
        <v>0</v>
      </c>
      <c r="J85" s="529">
        <f>IFERROR(VLOOKUP($B85,'3.Tasks'!$BK$4:$BO$23,3,FALSE),0)</f>
        <v>0</v>
      </c>
      <c r="K85" s="529">
        <f t="shared" si="24"/>
        <v>0</v>
      </c>
      <c r="L85" s="529">
        <f>IFERROR(VLOOKUP($B85,'3.Tasks'!$BK$4:$BO$23,4,FALSE),0)</f>
        <v>0</v>
      </c>
      <c r="M85" s="529">
        <f t="shared" si="25"/>
        <v>0</v>
      </c>
      <c r="N85" s="529">
        <f>IFERROR(VLOOKUP($B85,'3.Tasks'!$BK$4:$BO$23,5,FALSE),0)</f>
        <v>0</v>
      </c>
      <c r="O85" s="529">
        <f t="shared" si="26"/>
        <v>0</v>
      </c>
      <c r="P85" s="530">
        <f t="shared" si="27"/>
        <v>0</v>
      </c>
      <c r="T85" s="110"/>
      <c r="U85" s="110"/>
      <c r="V85" s="110"/>
      <c r="W85" s="110"/>
      <c r="X85" s="110"/>
      <c r="Y85" s="110"/>
      <c r="Z85" s="110"/>
      <c r="AA85" s="110"/>
      <c r="AB85" s="110"/>
      <c r="AC85" s="120"/>
      <c r="AD85" s="110"/>
      <c r="AE85" s="110"/>
      <c r="AF85" s="110"/>
      <c r="AG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row>
    <row r="86" spans="1:64">
      <c r="A86" s="527" t="s">
        <v>698</v>
      </c>
      <c r="B86" s="527" t="s">
        <v>826</v>
      </c>
      <c r="C86" s="527" t="s">
        <v>26</v>
      </c>
      <c r="D86" s="527" t="s">
        <v>0</v>
      </c>
      <c r="E86" s="525" t="s">
        <v>39</v>
      </c>
      <c r="F86" s="526">
        <f>IFERROR(HLOOKUP(C86,'4.Team'!$CI$33:$DB$47,VLOOKUP(A86,$A$705:$B$714,2,FALSE),FALSE),0)</f>
        <v>0</v>
      </c>
      <c r="G86" s="526">
        <f t="shared" si="22"/>
        <v>0</v>
      </c>
      <c r="H86" s="525">
        <f>IFERROR(VLOOKUP($B86,'3.Tasks'!$BK$4:$BO$23,2,FALSE),0)</f>
        <v>0</v>
      </c>
      <c r="I86" s="529">
        <f t="shared" si="23"/>
        <v>0</v>
      </c>
      <c r="J86" s="529">
        <f>IFERROR(VLOOKUP($B86,'3.Tasks'!$BK$4:$BO$23,3,FALSE),0)</f>
        <v>0</v>
      </c>
      <c r="K86" s="529">
        <f t="shared" si="24"/>
        <v>0</v>
      </c>
      <c r="L86" s="529">
        <f>IFERROR(VLOOKUP($B86,'3.Tasks'!$BK$4:$BO$23,4,FALSE),0)</f>
        <v>0</v>
      </c>
      <c r="M86" s="529">
        <f t="shared" si="25"/>
        <v>0</v>
      </c>
      <c r="N86" s="529">
        <f>IFERROR(VLOOKUP($B86,'3.Tasks'!$BK$4:$BO$23,5,FALSE),0)</f>
        <v>0</v>
      </c>
      <c r="O86" s="529">
        <f t="shared" si="26"/>
        <v>0</v>
      </c>
      <c r="P86" s="530">
        <f t="shared" si="27"/>
        <v>0</v>
      </c>
      <c r="T86" s="110"/>
      <c r="U86" s="110"/>
      <c r="V86" s="110"/>
      <c r="W86" s="110"/>
      <c r="X86" s="110"/>
      <c r="Y86" s="110"/>
      <c r="Z86" s="110"/>
      <c r="AA86" s="110"/>
      <c r="AB86" s="110"/>
      <c r="AC86" s="120"/>
      <c r="AD86" s="110"/>
      <c r="AE86" s="110"/>
      <c r="AF86" s="110"/>
      <c r="AG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row>
    <row r="87" spans="1:64">
      <c r="A87" s="527" t="s">
        <v>699</v>
      </c>
      <c r="B87" s="527" t="s">
        <v>826</v>
      </c>
      <c r="C87" s="527" t="s">
        <v>26</v>
      </c>
      <c r="D87" s="527" t="s">
        <v>0</v>
      </c>
      <c r="E87" s="525" t="s">
        <v>39</v>
      </c>
      <c r="F87" s="526">
        <f>IFERROR(HLOOKUP(C87,'4.Team'!$CI$33:$DB$47,VLOOKUP(A87,$A$705:$B$714,2,FALSE),FALSE),0)</f>
        <v>0</v>
      </c>
      <c r="G87" s="526">
        <f t="shared" si="22"/>
        <v>0</v>
      </c>
      <c r="H87" s="525">
        <f>IFERROR(VLOOKUP($B87,'3.Tasks'!$BK$4:$BO$23,2,FALSE),0)</f>
        <v>0</v>
      </c>
      <c r="I87" s="529">
        <f t="shared" si="23"/>
        <v>0</v>
      </c>
      <c r="J87" s="529">
        <f>IFERROR(VLOOKUP($B87,'3.Tasks'!$BK$4:$BO$23,3,FALSE),0)</f>
        <v>0</v>
      </c>
      <c r="K87" s="529">
        <f t="shared" si="24"/>
        <v>0</v>
      </c>
      <c r="L87" s="529">
        <f>IFERROR(VLOOKUP($B87,'3.Tasks'!$BK$4:$BO$23,4,FALSE),0)</f>
        <v>0</v>
      </c>
      <c r="M87" s="529">
        <f t="shared" si="25"/>
        <v>0</v>
      </c>
      <c r="N87" s="529">
        <f>IFERROR(VLOOKUP($B87,'3.Tasks'!$BK$4:$BO$23,5,FALSE),0)</f>
        <v>0</v>
      </c>
      <c r="O87" s="529">
        <f t="shared" si="26"/>
        <v>0</v>
      </c>
      <c r="P87" s="530">
        <f t="shared" si="27"/>
        <v>0</v>
      </c>
      <c r="T87" s="110"/>
      <c r="U87" s="110"/>
      <c r="V87" s="110"/>
      <c r="W87" s="110"/>
      <c r="X87" s="110"/>
      <c r="Y87" s="110"/>
      <c r="Z87" s="110"/>
      <c r="AA87" s="110"/>
      <c r="AB87" s="110"/>
      <c r="AC87" s="120"/>
      <c r="AD87" s="110"/>
      <c r="AE87" s="110"/>
      <c r="AF87" s="110"/>
      <c r="AG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row>
    <row r="88" spans="1:64">
      <c r="A88" s="527" t="s">
        <v>700</v>
      </c>
      <c r="B88" s="527" t="s">
        <v>826</v>
      </c>
      <c r="C88" s="527" t="s">
        <v>26</v>
      </c>
      <c r="D88" s="527" t="s">
        <v>0</v>
      </c>
      <c r="E88" s="525" t="s">
        <v>39</v>
      </c>
      <c r="F88" s="526">
        <f>IFERROR(HLOOKUP(C88,'4.Team'!$CI$33:$DB$47,VLOOKUP(A88,$A$705:$B$714,2,FALSE),FALSE),0)</f>
        <v>0</v>
      </c>
      <c r="G88" s="526">
        <f t="shared" si="22"/>
        <v>0</v>
      </c>
      <c r="H88" s="525">
        <f>IFERROR(VLOOKUP($B88,'3.Tasks'!$BK$4:$BO$23,2,FALSE),0)</f>
        <v>0</v>
      </c>
      <c r="I88" s="529">
        <f t="shared" si="23"/>
        <v>0</v>
      </c>
      <c r="J88" s="529">
        <f>IFERROR(VLOOKUP($B88,'3.Tasks'!$BK$4:$BO$23,3,FALSE),0)</f>
        <v>0</v>
      </c>
      <c r="K88" s="529">
        <f t="shared" si="24"/>
        <v>0</v>
      </c>
      <c r="L88" s="529">
        <f>IFERROR(VLOOKUP($B88,'3.Tasks'!$BK$4:$BO$23,4,FALSE),0)</f>
        <v>0</v>
      </c>
      <c r="M88" s="529">
        <f t="shared" si="25"/>
        <v>0</v>
      </c>
      <c r="N88" s="529">
        <f>IFERROR(VLOOKUP($B88,'3.Tasks'!$BK$4:$BO$23,5,FALSE),0)</f>
        <v>0</v>
      </c>
      <c r="O88" s="529">
        <f t="shared" si="26"/>
        <v>0</v>
      </c>
      <c r="P88" s="530">
        <f t="shared" si="27"/>
        <v>0</v>
      </c>
      <c r="T88" s="110"/>
      <c r="U88" s="110"/>
      <c r="V88" s="110"/>
      <c r="W88" s="110"/>
      <c r="X88" s="110"/>
      <c r="Y88" s="110"/>
      <c r="Z88" s="110"/>
      <c r="AA88" s="110"/>
      <c r="AB88" s="110"/>
      <c r="AC88" s="120"/>
      <c r="AD88" s="110"/>
      <c r="AE88" s="110"/>
      <c r="AF88" s="110"/>
      <c r="AG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row>
    <row r="89" spans="1:64">
      <c r="A89" s="527" t="s">
        <v>701</v>
      </c>
      <c r="B89" s="527" t="s">
        <v>826</v>
      </c>
      <c r="C89" s="527" t="s">
        <v>26</v>
      </c>
      <c r="D89" s="527" t="s">
        <v>0</v>
      </c>
      <c r="E89" s="525" t="s">
        <v>39</v>
      </c>
      <c r="F89" s="526">
        <f>IFERROR(HLOOKUP(C89,'4.Team'!$CI$33:$DB$47,VLOOKUP(A89,$A$705:$B$714,2,FALSE),FALSE),0)</f>
        <v>0</v>
      </c>
      <c r="G89" s="526">
        <f t="shared" si="22"/>
        <v>0</v>
      </c>
      <c r="H89" s="525">
        <f>IFERROR(VLOOKUP($B89,'3.Tasks'!$BK$4:$BO$23,2,FALSE),0)</f>
        <v>0</v>
      </c>
      <c r="I89" s="529">
        <f t="shared" si="23"/>
        <v>0</v>
      </c>
      <c r="J89" s="529">
        <f>IFERROR(VLOOKUP($B89,'3.Tasks'!$BK$4:$BO$23,3,FALSE),0)</f>
        <v>0</v>
      </c>
      <c r="K89" s="529">
        <f t="shared" si="24"/>
        <v>0</v>
      </c>
      <c r="L89" s="529">
        <f>IFERROR(VLOOKUP($B89,'3.Tasks'!$BK$4:$BO$23,4,FALSE),0)</f>
        <v>0</v>
      </c>
      <c r="M89" s="529">
        <f t="shared" si="25"/>
        <v>0</v>
      </c>
      <c r="N89" s="529">
        <f>IFERROR(VLOOKUP($B89,'3.Tasks'!$BK$4:$BO$23,5,FALSE),0)</f>
        <v>0</v>
      </c>
      <c r="O89" s="529">
        <f t="shared" si="26"/>
        <v>0</v>
      </c>
      <c r="P89" s="530">
        <f t="shared" si="27"/>
        <v>0</v>
      </c>
      <c r="T89" s="110"/>
      <c r="U89" s="110"/>
      <c r="V89" s="110"/>
      <c r="W89" s="110"/>
      <c r="X89" s="110"/>
      <c r="Y89" s="110"/>
      <c r="Z89" s="110"/>
      <c r="AA89" s="110"/>
      <c r="AB89" s="110"/>
      <c r="AC89" s="120"/>
      <c r="AD89" s="110"/>
      <c r="AE89" s="110"/>
      <c r="AF89" s="110"/>
      <c r="AG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row>
    <row r="90" spans="1:64">
      <c r="A90" s="527" t="s">
        <v>702</v>
      </c>
      <c r="B90" s="527" t="s">
        <v>826</v>
      </c>
      <c r="C90" s="527" t="s">
        <v>26</v>
      </c>
      <c r="D90" s="527" t="s">
        <v>0</v>
      </c>
      <c r="E90" s="525" t="s">
        <v>39</v>
      </c>
      <c r="F90" s="526">
        <f>IFERROR(HLOOKUP(C90,'4.Team'!$CI$33:$DB$47,VLOOKUP(A90,$A$705:$B$714,2,FALSE),FALSE),0)</f>
        <v>0</v>
      </c>
      <c r="G90" s="526">
        <f t="shared" si="22"/>
        <v>0</v>
      </c>
      <c r="H90" s="525">
        <f>IFERROR(VLOOKUP($B90,'3.Tasks'!$BK$4:$BO$23,2,FALSE),0)</f>
        <v>0</v>
      </c>
      <c r="I90" s="529">
        <f t="shared" si="23"/>
        <v>0</v>
      </c>
      <c r="J90" s="529">
        <f>IFERROR(VLOOKUP($B90,'3.Tasks'!$BK$4:$BO$23,3,FALSE),0)</f>
        <v>0</v>
      </c>
      <c r="K90" s="529">
        <f t="shared" si="24"/>
        <v>0</v>
      </c>
      <c r="L90" s="529">
        <f>IFERROR(VLOOKUP($B90,'3.Tasks'!$BK$4:$BO$23,4,FALSE),0)</f>
        <v>0</v>
      </c>
      <c r="M90" s="529">
        <f t="shared" si="25"/>
        <v>0</v>
      </c>
      <c r="N90" s="529">
        <f>IFERROR(VLOOKUP($B90,'3.Tasks'!$BK$4:$BO$23,5,FALSE),0)</f>
        <v>0</v>
      </c>
      <c r="O90" s="529">
        <f t="shared" si="26"/>
        <v>0</v>
      </c>
      <c r="P90" s="530">
        <f t="shared" si="27"/>
        <v>0</v>
      </c>
      <c r="T90" s="110"/>
      <c r="U90" s="110"/>
      <c r="V90" s="110"/>
      <c r="W90" s="110"/>
      <c r="X90" s="110"/>
      <c r="Y90" s="110"/>
      <c r="Z90" s="110"/>
      <c r="AA90" s="110"/>
      <c r="AB90" s="110"/>
      <c r="AC90" s="120"/>
      <c r="AD90" s="110"/>
      <c r="AE90" s="110"/>
      <c r="AF90" s="110"/>
      <c r="AG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row>
    <row r="91" spans="1:64">
      <c r="A91" s="527" t="s">
        <v>703</v>
      </c>
      <c r="B91" s="527" t="s">
        <v>826</v>
      </c>
      <c r="C91" s="527" t="s">
        <v>26</v>
      </c>
      <c r="D91" s="527" t="s">
        <v>0</v>
      </c>
      <c r="E91" s="525" t="s">
        <v>39</v>
      </c>
      <c r="F91" s="526">
        <f>IFERROR(HLOOKUP(C91,'4.Team'!$CI$33:$DB$47,VLOOKUP(A91,$A$705:$B$714,2,FALSE),FALSE),0)</f>
        <v>0</v>
      </c>
      <c r="G91" s="526">
        <f t="shared" si="22"/>
        <v>0</v>
      </c>
      <c r="H91" s="525">
        <f>IFERROR(VLOOKUP($B91,'3.Tasks'!$BK$4:$BO$23,2,FALSE),0)</f>
        <v>0</v>
      </c>
      <c r="I91" s="529">
        <f t="shared" si="23"/>
        <v>0</v>
      </c>
      <c r="J91" s="529">
        <f>IFERROR(VLOOKUP($B91,'3.Tasks'!$BK$4:$BO$23,3,FALSE),0)</f>
        <v>0</v>
      </c>
      <c r="K91" s="529">
        <f t="shared" si="24"/>
        <v>0</v>
      </c>
      <c r="L91" s="529">
        <f>IFERROR(VLOOKUP($B91,'3.Tasks'!$BK$4:$BO$23,4,FALSE),0)</f>
        <v>0</v>
      </c>
      <c r="M91" s="529">
        <f t="shared" si="25"/>
        <v>0</v>
      </c>
      <c r="N91" s="529">
        <f>IFERROR(VLOOKUP($B91,'3.Tasks'!$BK$4:$BO$23,5,FALSE),0)</f>
        <v>0</v>
      </c>
      <c r="O91" s="529">
        <f t="shared" si="26"/>
        <v>0</v>
      </c>
      <c r="P91" s="530">
        <f t="shared" si="27"/>
        <v>0</v>
      </c>
      <c r="T91" s="110"/>
      <c r="U91" s="110"/>
      <c r="V91" s="110"/>
      <c r="W91" s="110"/>
      <c r="X91" s="110"/>
      <c r="Y91" s="110"/>
      <c r="Z91" s="110"/>
      <c r="AA91" s="110"/>
      <c r="AB91" s="110"/>
      <c r="AC91" s="120"/>
      <c r="AD91" s="110"/>
      <c r="AE91" s="110"/>
      <c r="AF91" s="110"/>
      <c r="AG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row>
    <row r="92" spans="1:64">
      <c r="A92" s="527" t="s">
        <v>694</v>
      </c>
      <c r="B92" s="527" t="s">
        <v>827</v>
      </c>
      <c r="C92" s="527" t="s">
        <v>27</v>
      </c>
      <c r="D92" s="527" t="s">
        <v>0</v>
      </c>
      <c r="E92" s="525" t="s">
        <v>39</v>
      </c>
      <c r="F92" s="526">
        <f>IFERROR(HLOOKUP(C92,'4.Team'!$CI$33:$DB$47,VLOOKUP(A92,$A$705:$B$714,2,FALSE),FALSE),0)</f>
        <v>0</v>
      </c>
      <c r="G92" s="526">
        <f t="shared" si="22"/>
        <v>0</v>
      </c>
      <c r="H92" s="525">
        <f>IFERROR(VLOOKUP($B92,'3.Tasks'!$BK$4:$BO$23,2,FALSE),0)</f>
        <v>0</v>
      </c>
      <c r="I92" s="529">
        <f t="shared" si="23"/>
        <v>0</v>
      </c>
      <c r="J92" s="529">
        <f>IFERROR(VLOOKUP($B92,'3.Tasks'!$BK$4:$BO$23,3,FALSE),0)</f>
        <v>0</v>
      </c>
      <c r="K92" s="529">
        <f t="shared" si="24"/>
        <v>0</v>
      </c>
      <c r="L92" s="529">
        <f>IFERROR(VLOOKUP($B92,'3.Tasks'!$BK$4:$BO$23,4,FALSE),0)</f>
        <v>0</v>
      </c>
      <c r="M92" s="529">
        <f t="shared" si="25"/>
        <v>0</v>
      </c>
      <c r="N92" s="529">
        <f>IFERROR(VLOOKUP($B92,'3.Tasks'!$BK$4:$BO$23,5,FALSE),0)</f>
        <v>0</v>
      </c>
      <c r="O92" s="529">
        <f t="shared" si="26"/>
        <v>0</v>
      </c>
      <c r="P92" s="530">
        <f t="shared" si="27"/>
        <v>0</v>
      </c>
      <c r="T92" s="110"/>
      <c r="U92" s="110"/>
      <c r="V92" s="110"/>
      <c r="W92" s="110"/>
      <c r="X92" s="110"/>
      <c r="Y92" s="110"/>
      <c r="Z92" s="110"/>
      <c r="AA92" s="110"/>
      <c r="AB92" s="110"/>
      <c r="AC92" s="120"/>
      <c r="AD92" s="110"/>
      <c r="AE92" s="110"/>
      <c r="AF92" s="110"/>
      <c r="AG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row>
    <row r="93" spans="1:64">
      <c r="A93" s="527" t="s">
        <v>695</v>
      </c>
      <c r="B93" s="527" t="s">
        <v>827</v>
      </c>
      <c r="C93" s="527" t="s">
        <v>27</v>
      </c>
      <c r="D93" s="527" t="s">
        <v>0</v>
      </c>
      <c r="E93" s="525" t="s">
        <v>39</v>
      </c>
      <c r="F93" s="526">
        <f>IFERROR(HLOOKUP(C93,'4.Team'!$CI$33:$DB$47,VLOOKUP(A93,$A$705:$B$714,2,FALSE),FALSE),0)</f>
        <v>0</v>
      </c>
      <c r="G93" s="526">
        <f t="shared" si="22"/>
        <v>0</v>
      </c>
      <c r="H93" s="525">
        <f>IFERROR(VLOOKUP($B93,'3.Tasks'!$BK$4:$BO$23,2,FALSE),0)</f>
        <v>0</v>
      </c>
      <c r="I93" s="529">
        <f t="shared" si="23"/>
        <v>0</v>
      </c>
      <c r="J93" s="529">
        <f>IFERROR(VLOOKUP($B93,'3.Tasks'!$BK$4:$BO$23,3,FALSE),0)</f>
        <v>0</v>
      </c>
      <c r="K93" s="529">
        <f t="shared" si="24"/>
        <v>0</v>
      </c>
      <c r="L93" s="529">
        <f>IFERROR(VLOOKUP($B93,'3.Tasks'!$BK$4:$BO$23,4,FALSE),0)</f>
        <v>0</v>
      </c>
      <c r="M93" s="529">
        <f t="shared" si="25"/>
        <v>0</v>
      </c>
      <c r="N93" s="529">
        <f>IFERROR(VLOOKUP($B93,'3.Tasks'!$BK$4:$BO$23,5,FALSE),0)</f>
        <v>0</v>
      </c>
      <c r="O93" s="529">
        <f t="shared" si="26"/>
        <v>0</v>
      </c>
      <c r="P93" s="530">
        <f t="shared" si="27"/>
        <v>0</v>
      </c>
      <c r="T93" s="110"/>
      <c r="U93" s="110"/>
      <c r="V93" s="110"/>
      <c r="W93" s="110"/>
      <c r="X93" s="110"/>
      <c r="Y93" s="110"/>
      <c r="Z93" s="110"/>
      <c r="AA93" s="110"/>
      <c r="AB93" s="110"/>
      <c r="AC93" s="120"/>
      <c r="AD93" s="110"/>
      <c r="AE93" s="110"/>
      <c r="AF93" s="110"/>
      <c r="AG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row>
    <row r="94" spans="1:64">
      <c r="A94" s="527" t="s">
        <v>696</v>
      </c>
      <c r="B94" s="527" t="s">
        <v>827</v>
      </c>
      <c r="C94" s="527" t="s">
        <v>27</v>
      </c>
      <c r="D94" s="527" t="s">
        <v>0</v>
      </c>
      <c r="E94" s="525" t="s">
        <v>39</v>
      </c>
      <c r="F94" s="526">
        <f>IFERROR(HLOOKUP(C94,'4.Team'!$CI$33:$DB$47,VLOOKUP(A94,$A$705:$B$714,2,FALSE),FALSE),0)</f>
        <v>0</v>
      </c>
      <c r="G94" s="526">
        <f t="shared" si="22"/>
        <v>0</v>
      </c>
      <c r="H94" s="525">
        <f>IFERROR(VLOOKUP($B94,'3.Tasks'!$BK$4:$BO$23,2,FALSE),0)</f>
        <v>0</v>
      </c>
      <c r="I94" s="529">
        <f t="shared" si="23"/>
        <v>0</v>
      </c>
      <c r="J94" s="529">
        <f>IFERROR(VLOOKUP($B94,'3.Tasks'!$BK$4:$BO$23,3,FALSE),0)</f>
        <v>0</v>
      </c>
      <c r="K94" s="529">
        <f t="shared" si="24"/>
        <v>0</v>
      </c>
      <c r="L94" s="529">
        <f>IFERROR(VLOOKUP($B94,'3.Tasks'!$BK$4:$BO$23,4,FALSE),0)</f>
        <v>0</v>
      </c>
      <c r="M94" s="529">
        <f t="shared" si="25"/>
        <v>0</v>
      </c>
      <c r="N94" s="529">
        <f>IFERROR(VLOOKUP($B94,'3.Tasks'!$BK$4:$BO$23,5,FALSE),0)</f>
        <v>0</v>
      </c>
      <c r="O94" s="529">
        <f t="shared" si="26"/>
        <v>0</v>
      </c>
      <c r="P94" s="530">
        <f t="shared" si="27"/>
        <v>0</v>
      </c>
      <c r="T94" s="110"/>
      <c r="U94" s="110"/>
      <c r="V94" s="110"/>
      <c r="W94" s="110"/>
      <c r="X94" s="110"/>
      <c r="Y94" s="110"/>
      <c r="Z94" s="110"/>
      <c r="AA94" s="110"/>
      <c r="AB94" s="110"/>
      <c r="AC94" s="120"/>
      <c r="AD94" s="110"/>
      <c r="AE94" s="110"/>
      <c r="AF94" s="110"/>
      <c r="AG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row>
    <row r="95" spans="1:64">
      <c r="A95" s="527" t="s">
        <v>697</v>
      </c>
      <c r="B95" s="527" t="s">
        <v>827</v>
      </c>
      <c r="C95" s="527" t="s">
        <v>27</v>
      </c>
      <c r="D95" s="527" t="s">
        <v>0</v>
      </c>
      <c r="E95" s="525" t="s">
        <v>39</v>
      </c>
      <c r="F95" s="526">
        <f>IFERROR(HLOOKUP(C95,'4.Team'!$CI$33:$DB$47,VLOOKUP(A95,$A$705:$B$714,2,FALSE),FALSE),0)</f>
        <v>0</v>
      </c>
      <c r="G95" s="526">
        <f t="shared" si="22"/>
        <v>0</v>
      </c>
      <c r="H95" s="525">
        <f>IFERROR(VLOOKUP($B95,'3.Tasks'!$BK$4:$BO$23,2,FALSE),0)</f>
        <v>0</v>
      </c>
      <c r="I95" s="529">
        <f t="shared" si="23"/>
        <v>0</v>
      </c>
      <c r="J95" s="529">
        <f>IFERROR(VLOOKUP($B95,'3.Tasks'!$BK$4:$BO$23,3,FALSE),0)</f>
        <v>0</v>
      </c>
      <c r="K95" s="529">
        <f t="shared" si="24"/>
        <v>0</v>
      </c>
      <c r="L95" s="529">
        <f>IFERROR(VLOOKUP($B95,'3.Tasks'!$BK$4:$BO$23,4,FALSE),0)</f>
        <v>0</v>
      </c>
      <c r="M95" s="529">
        <f t="shared" si="25"/>
        <v>0</v>
      </c>
      <c r="N95" s="529">
        <f>IFERROR(VLOOKUP($B95,'3.Tasks'!$BK$4:$BO$23,5,FALSE),0)</f>
        <v>0</v>
      </c>
      <c r="O95" s="529">
        <f t="shared" si="26"/>
        <v>0</v>
      </c>
      <c r="P95" s="530">
        <f t="shared" si="27"/>
        <v>0</v>
      </c>
      <c r="T95" s="110"/>
      <c r="U95" s="110"/>
      <c r="V95" s="110"/>
      <c r="W95" s="110"/>
      <c r="X95" s="110"/>
      <c r="Y95" s="110"/>
      <c r="Z95" s="110"/>
      <c r="AA95" s="110"/>
      <c r="AB95" s="110"/>
      <c r="AC95" s="120"/>
      <c r="AD95" s="110"/>
      <c r="AE95" s="110"/>
      <c r="AF95" s="110"/>
      <c r="AG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row>
    <row r="96" spans="1:64">
      <c r="A96" s="527" t="s">
        <v>698</v>
      </c>
      <c r="B96" s="527" t="s">
        <v>827</v>
      </c>
      <c r="C96" s="527" t="s">
        <v>27</v>
      </c>
      <c r="D96" s="527" t="s">
        <v>0</v>
      </c>
      <c r="E96" s="525" t="s">
        <v>39</v>
      </c>
      <c r="F96" s="526">
        <f>IFERROR(HLOOKUP(C96,'4.Team'!$CI$33:$DB$47,VLOOKUP(A96,$A$705:$B$714,2,FALSE),FALSE),0)</f>
        <v>0</v>
      </c>
      <c r="G96" s="526">
        <f t="shared" si="22"/>
        <v>0</v>
      </c>
      <c r="H96" s="525">
        <f>IFERROR(VLOOKUP($B96,'3.Tasks'!$BK$4:$BO$23,2,FALSE),0)</f>
        <v>0</v>
      </c>
      <c r="I96" s="529">
        <f t="shared" si="23"/>
        <v>0</v>
      </c>
      <c r="J96" s="529">
        <f>IFERROR(VLOOKUP($B96,'3.Tasks'!$BK$4:$BO$23,3,FALSE),0)</f>
        <v>0</v>
      </c>
      <c r="K96" s="529">
        <f t="shared" si="24"/>
        <v>0</v>
      </c>
      <c r="L96" s="529">
        <f>IFERROR(VLOOKUP($B96,'3.Tasks'!$BK$4:$BO$23,4,FALSE),0)</f>
        <v>0</v>
      </c>
      <c r="M96" s="529">
        <f t="shared" si="25"/>
        <v>0</v>
      </c>
      <c r="N96" s="529">
        <f>IFERROR(VLOOKUP($B96,'3.Tasks'!$BK$4:$BO$23,5,FALSE),0)</f>
        <v>0</v>
      </c>
      <c r="O96" s="529">
        <f t="shared" si="26"/>
        <v>0</v>
      </c>
      <c r="P96" s="530">
        <f t="shared" si="27"/>
        <v>0</v>
      </c>
      <c r="T96" s="110"/>
      <c r="U96" s="110"/>
      <c r="V96" s="110"/>
      <c r="W96" s="110"/>
      <c r="X96" s="110"/>
      <c r="Y96" s="110"/>
      <c r="Z96" s="110"/>
      <c r="AA96" s="110"/>
      <c r="AB96" s="110"/>
      <c r="AC96" s="120"/>
      <c r="AD96" s="110"/>
      <c r="AE96" s="110"/>
      <c r="AF96" s="110"/>
      <c r="AG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row>
    <row r="97" spans="1:64">
      <c r="A97" s="527" t="s">
        <v>699</v>
      </c>
      <c r="B97" s="527" t="s">
        <v>827</v>
      </c>
      <c r="C97" s="527" t="s">
        <v>27</v>
      </c>
      <c r="D97" s="527" t="s">
        <v>0</v>
      </c>
      <c r="E97" s="525" t="s">
        <v>39</v>
      </c>
      <c r="F97" s="526">
        <f>IFERROR(HLOOKUP(C97,'4.Team'!$CI$33:$DB$47,VLOOKUP(A97,$A$705:$B$714,2,FALSE),FALSE),0)</f>
        <v>0</v>
      </c>
      <c r="G97" s="526">
        <f t="shared" si="22"/>
        <v>0</v>
      </c>
      <c r="H97" s="525">
        <f>IFERROR(VLOOKUP($B97,'3.Tasks'!$BK$4:$BO$23,2,FALSE),0)</f>
        <v>0</v>
      </c>
      <c r="I97" s="529">
        <f t="shared" si="23"/>
        <v>0</v>
      </c>
      <c r="J97" s="529">
        <f>IFERROR(VLOOKUP($B97,'3.Tasks'!$BK$4:$BO$23,3,FALSE),0)</f>
        <v>0</v>
      </c>
      <c r="K97" s="529">
        <f t="shared" si="24"/>
        <v>0</v>
      </c>
      <c r="L97" s="529">
        <f>IFERROR(VLOOKUP($B97,'3.Tasks'!$BK$4:$BO$23,4,FALSE),0)</f>
        <v>0</v>
      </c>
      <c r="M97" s="529">
        <f t="shared" si="25"/>
        <v>0</v>
      </c>
      <c r="N97" s="529">
        <f>IFERROR(VLOOKUP($B97,'3.Tasks'!$BK$4:$BO$23,5,FALSE),0)</f>
        <v>0</v>
      </c>
      <c r="O97" s="529">
        <f t="shared" si="26"/>
        <v>0</v>
      </c>
      <c r="P97" s="530">
        <f t="shared" si="27"/>
        <v>0</v>
      </c>
      <c r="T97" s="110"/>
      <c r="U97" s="110"/>
      <c r="V97" s="110"/>
      <c r="W97" s="110"/>
      <c r="X97" s="110"/>
      <c r="Y97" s="110"/>
      <c r="Z97" s="110"/>
      <c r="AA97" s="110"/>
      <c r="AB97" s="110"/>
      <c r="AC97" s="120"/>
      <c r="AD97" s="110"/>
      <c r="AE97" s="110"/>
      <c r="AF97" s="110"/>
      <c r="AG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row>
    <row r="98" spans="1:64">
      <c r="A98" s="527" t="s">
        <v>700</v>
      </c>
      <c r="B98" s="527" t="s">
        <v>827</v>
      </c>
      <c r="C98" s="527" t="s">
        <v>27</v>
      </c>
      <c r="D98" s="527" t="s">
        <v>0</v>
      </c>
      <c r="E98" s="525" t="s">
        <v>39</v>
      </c>
      <c r="F98" s="526">
        <f>IFERROR(HLOOKUP(C98,'4.Team'!$CI$33:$DB$47,VLOOKUP(A98,$A$705:$B$714,2,FALSE),FALSE),0)</f>
        <v>0</v>
      </c>
      <c r="G98" s="526">
        <f t="shared" si="22"/>
        <v>0</v>
      </c>
      <c r="H98" s="525">
        <f>IFERROR(VLOOKUP($B98,'3.Tasks'!$BK$4:$BO$23,2,FALSE),0)</f>
        <v>0</v>
      </c>
      <c r="I98" s="529">
        <f t="shared" si="23"/>
        <v>0</v>
      </c>
      <c r="J98" s="529">
        <f>IFERROR(VLOOKUP($B98,'3.Tasks'!$BK$4:$BO$23,3,FALSE),0)</f>
        <v>0</v>
      </c>
      <c r="K98" s="529">
        <f t="shared" si="24"/>
        <v>0</v>
      </c>
      <c r="L98" s="529">
        <f>IFERROR(VLOOKUP($B98,'3.Tasks'!$BK$4:$BO$23,4,FALSE),0)</f>
        <v>0</v>
      </c>
      <c r="M98" s="529">
        <f t="shared" si="25"/>
        <v>0</v>
      </c>
      <c r="N98" s="529">
        <f>IFERROR(VLOOKUP($B98,'3.Tasks'!$BK$4:$BO$23,5,FALSE),0)</f>
        <v>0</v>
      </c>
      <c r="O98" s="529">
        <f t="shared" si="26"/>
        <v>0</v>
      </c>
      <c r="P98" s="530">
        <f t="shared" si="27"/>
        <v>0</v>
      </c>
      <c r="T98" s="110"/>
      <c r="U98" s="110"/>
      <c r="V98" s="110"/>
      <c r="W98" s="110"/>
      <c r="X98" s="110"/>
      <c r="Y98" s="110"/>
      <c r="Z98" s="110"/>
      <c r="AA98" s="110"/>
      <c r="AB98" s="110"/>
      <c r="AC98" s="120"/>
      <c r="AD98" s="110"/>
      <c r="AE98" s="110"/>
      <c r="AF98" s="110"/>
      <c r="AG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row>
    <row r="99" spans="1:64">
      <c r="A99" s="527" t="s">
        <v>701</v>
      </c>
      <c r="B99" s="527" t="s">
        <v>827</v>
      </c>
      <c r="C99" s="527" t="s">
        <v>27</v>
      </c>
      <c r="D99" s="527" t="s">
        <v>0</v>
      </c>
      <c r="E99" s="525" t="s">
        <v>39</v>
      </c>
      <c r="F99" s="526">
        <f>IFERROR(HLOOKUP(C99,'4.Team'!$CI$33:$DB$47,VLOOKUP(A99,$A$705:$B$714,2,FALSE),FALSE),0)</f>
        <v>0</v>
      </c>
      <c r="G99" s="526">
        <f t="shared" si="22"/>
        <v>0</v>
      </c>
      <c r="H99" s="525">
        <f>IFERROR(VLOOKUP($B99,'3.Tasks'!$BK$4:$BO$23,2,FALSE),0)</f>
        <v>0</v>
      </c>
      <c r="I99" s="529">
        <f t="shared" si="23"/>
        <v>0</v>
      </c>
      <c r="J99" s="529">
        <f>IFERROR(VLOOKUP($B99,'3.Tasks'!$BK$4:$BO$23,3,FALSE),0)</f>
        <v>0</v>
      </c>
      <c r="K99" s="529">
        <f t="shared" si="24"/>
        <v>0</v>
      </c>
      <c r="L99" s="529">
        <f>IFERROR(VLOOKUP($B99,'3.Tasks'!$BK$4:$BO$23,4,FALSE),0)</f>
        <v>0</v>
      </c>
      <c r="M99" s="529">
        <f t="shared" si="25"/>
        <v>0</v>
      </c>
      <c r="N99" s="529">
        <f>IFERROR(VLOOKUP($B99,'3.Tasks'!$BK$4:$BO$23,5,FALSE),0)</f>
        <v>0</v>
      </c>
      <c r="O99" s="529">
        <f t="shared" si="26"/>
        <v>0</v>
      </c>
      <c r="P99" s="530">
        <f t="shared" si="27"/>
        <v>0</v>
      </c>
      <c r="T99" s="110"/>
      <c r="U99" s="110"/>
      <c r="V99" s="110"/>
      <c r="W99" s="110"/>
      <c r="X99" s="110"/>
      <c r="Y99" s="110"/>
      <c r="Z99" s="110"/>
      <c r="AA99" s="110"/>
      <c r="AB99" s="110"/>
      <c r="AC99" s="120"/>
      <c r="AD99" s="110"/>
      <c r="AE99" s="110"/>
      <c r="AF99" s="110"/>
      <c r="AG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row>
    <row r="100" spans="1:64">
      <c r="A100" s="527" t="s">
        <v>702</v>
      </c>
      <c r="B100" s="527" t="s">
        <v>827</v>
      </c>
      <c r="C100" s="527" t="s">
        <v>27</v>
      </c>
      <c r="D100" s="527" t="s">
        <v>0</v>
      </c>
      <c r="E100" s="525" t="s">
        <v>39</v>
      </c>
      <c r="F100" s="526">
        <f>IFERROR(HLOOKUP(C100,'4.Team'!$CI$33:$DB$47,VLOOKUP(A100,$A$705:$B$714,2,FALSE),FALSE),0)</f>
        <v>0</v>
      </c>
      <c r="G100" s="526">
        <f t="shared" si="22"/>
        <v>0</v>
      </c>
      <c r="H100" s="525">
        <f>IFERROR(VLOOKUP($B100,'3.Tasks'!$BK$4:$BO$23,2,FALSE),0)</f>
        <v>0</v>
      </c>
      <c r="I100" s="529">
        <f t="shared" si="23"/>
        <v>0</v>
      </c>
      <c r="J100" s="529">
        <f>IFERROR(VLOOKUP($B100,'3.Tasks'!$BK$4:$BO$23,3,FALSE),0)</f>
        <v>0</v>
      </c>
      <c r="K100" s="529">
        <f t="shared" si="24"/>
        <v>0</v>
      </c>
      <c r="L100" s="529">
        <f>IFERROR(VLOOKUP($B100,'3.Tasks'!$BK$4:$BO$23,4,FALSE),0)</f>
        <v>0</v>
      </c>
      <c r="M100" s="529">
        <f t="shared" si="25"/>
        <v>0</v>
      </c>
      <c r="N100" s="529">
        <f>IFERROR(VLOOKUP($B100,'3.Tasks'!$BK$4:$BO$23,5,FALSE),0)</f>
        <v>0</v>
      </c>
      <c r="O100" s="529">
        <f t="shared" si="26"/>
        <v>0</v>
      </c>
      <c r="P100" s="530">
        <f t="shared" si="27"/>
        <v>0</v>
      </c>
      <c r="T100" s="110"/>
      <c r="U100" s="110"/>
      <c r="V100" s="110"/>
      <c r="W100" s="110"/>
      <c r="X100" s="110"/>
      <c r="Y100" s="110"/>
      <c r="Z100" s="110"/>
      <c r="AA100" s="110"/>
      <c r="AB100" s="110"/>
      <c r="AC100" s="120"/>
      <c r="AD100" s="110"/>
      <c r="AE100" s="110"/>
      <c r="AF100" s="110"/>
      <c r="AG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row>
    <row r="101" spans="1:64">
      <c r="A101" s="527" t="s">
        <v>703</v>
      </c>
      <c r="B101" s="527" t="s">
        <v>827</v>
      </c>
      <c r="C101" s="527" t="s">
        <v>27</v>
      </c>
      <c r="D101" s="527" t="s">
        <v>0</v>
      </c>
      <c r="E101" s="525" t="s">
        <v>39</v>
      </c>
      <c r="F101" s="526">
        <f>IFERROR(HLOOKUP(C101,'4.Team'!$CI$33:$DB$47,VLOOKUP(A101,$A$705:$B$714,2,FALSE),FALSE),0)</f>
        <v>0</v>
      </c>
      <c r="G101" s="526">
        <f t="shared" si="22"/>
        <v>0</v>
      </c>
      <c r="H101" s="525">
        <f>IFERROR(VLOOKUP($B101,'3.Tasks'!$BK$4:$BO$23,2,FALSE),0)</f>
        <v>0</v>
      </c>
      <c r="I101" s="529">
        <f t="shared" si="23"/>
        <v>0</v>
      </c>
      <c r="J101" s="529">
        <f>IFERROR(VLOOKUP($B101,'3.Tasks'!$BK$4:$BO$23,3,FALSE),0)</f>
        <v>0</v>
      </c>
      <c r="K101" s="529">
        <f t="shared" si="24"/>
        <v>0</v>
      </c>
      <c r="L101" s="529">
        <f>IFERROR(VLOOKUP($B101,'3.Tasks'!$BK$4:$BO$23,4,FALSE),0)</f>
        <v>0</v>
      </c>
      <c r="M101" s="529">
        <f t="shared" si="25"/>
        <v>0</v>
      </c>
      <c r="N101" s="529">
        <f>IFERROR(VLOOKUP($B101,'3.Tasks'!$BK$4:$BO$23,5,FALSE),0)</f>
        <v>0</v>
      </c>
      <c r="O101" s="529">
        <f t="shared" si="26"/>
        <v>0</v>
      </c>
      <c r="P101" s="530">
        <f t="shared" si="27"/>
        <v>0</v>
      </c>
      <c r="T101" s="110"/>
      <c r="U101" s="110"/>
      <c r="V101" s="110"/>
      <c r="W101" s="110"/>
      <c r="X101" s="110"/>
      <c r="Y101" s="110"/>
      <c r="Z101" s="110"/>
      <c r="AA101" s="110"/>
      <c r="AB101" s="110"/>
      <c r="AC101" s="120"/>
      <c r="AD101" s="110"/>
      <c r="AE101" s="110"/>
      <c r="AF101" s="110"/>
      <c r="AG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row>
    <row r="102" spans="1:64">
      <c r="A102" s="527" t="s">
        <v>694</v>
      </c>
      <c r="B102" s="527" t="s">
        <v>828</v>
      </c>
      <c r="C102" s="527" t="s">
        <v>28</v>
      </c>
      <c r="D102" s="527" t="s">
        <v>0</v>
      </c>
      <c r="E102" s="525" t="s">
        <v>39</v>
      </c>
      <c r="F102" s="526">
        <f>IFERROR(HLOOKUP(C102,'4.Team'!$CI$33:$DB$47,VLOOKUP(A102,$A$705:$B$714,2,FALSE),FALSE),0)</f>
        <v>0</v>
      </c>
      <c r="G102" s="526">
        <f t="shared" si="22"/>
        <v>0</v>
      </c>
      <c r="H102" s="525">
        <f>IFERROR(VLOOKUP($B102,'3.Tasks'!$BK$4:$BO$23,2,FALSE),0)</f>
        <v>0</v>
      </c>
      <c r="I102" s="529">
        <f t="shared" si="23"/>
        <v>0</v>
      </c>
      <c r="J102" s="529">
        <f>IFERROR(VLOOKUP($B102,'3.Tasks'!$BK$4:$BO$23,3,FALSE),0)</f>
        <v>0</v>
      </c>
      <c r="K102" s="529">
        <f t="shared" si="24"/>
        <v>0</v>
      </c>
      <c r="L102" s="529">
        <f>IFERROR(VLOOKUP($B102,'3.Tasks'!$BK$4:$BO$23,4,FALSE),0)</f>
        <v>0</v>
      </c>
      <c r="M102" s="529">
        <f t="shared" si="25"/>
        <v>0</v>
      </c>
      <c r="N102" s="529">
        <f>IFERROR(VLOOKUP($B102,'3.Tasks'!$BK$4:$BO$23,5,FALSE),0)</f>
        <v>0</v>
      </c>
      <c r="O102" s="529">
        <f t="shared" si="26"/>
        <v>0</v>
      </c>
      <c r="P102" s="530">
        <f t="shared" si="27"/>
        <v>0</v>
      </c>
      <c r="T102" s="110"/>
      <c r="U102" s="110"/>
      <c r="V102" s="110"/>
      <c r="W102" s="110"/>
      <c r="X102" s="110"/>
      <c r="Y102" s="110"/>
      <c r="Z102" s="110"/>
      <c r="AA102" s="110"/>
      <c r="AB102" s="110"/>
      <c r="AC102" s="120"/>
      <c r="AD102" s="110"/>
      <c r="AE102" s="110"/>
      <c r="AF102" s="110"/>
      <c r="AG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row>
    <row r="103" spans="1:64">
      <c r="A103" s="527" t="s">
        <v>695</v>
      </c>
      <c r="B103" s="527" t="s">
        <v>828</v>
      </c>
      <c r="C103" s="527" t="s">
        <v>28</v>
      </c>
      <c r="D103" s="527" t="s">
        <v>0</v>
      </c>
      <c r="E103" s="525" t="s">
        <v>39</v>
      </c>
      <c r="F103" s="526">
        <f>IFERROR(HLOOKUP(C103,'4.Team'!$CI$33:$DB$47,VLOOKUP(A103,$A$705:$B$714,2,FALSE),FALSE),0)</f>
        <v>0</v>
      </c>
      <c r="G103" s="526">
        <f t="shared" si="22"/>
        <v>0</v>
      </c>
      <c r="H103" s="525">
        <f>IFERROR(VLOOKUP($B103,'3.Tasks'!$BK$4:$BO$23,2,FALSE),0)</f>
        <v>0</v>
      </c>
      <c r="I103" s="529">
        <f t="shared" si="23"/>
        <v>0</v>
      </c>
      <c r="J103" s="529">
        <f>IFERROR(VLOOKUP($B103,'3.Tasks'!$BK$4:$BO$23,3,FALSE),0)</f>
        <v>0</v>
      </c>
      <c r="K103" s="529">
        <f t="shared" si="24"/>
        <v>0</v>
      </c>
      <c r="L103" s="529">
        <f>IFERROR(VLOOKUP($B103,'3.Tasks'!$BK$4:$BO$23,4,FALSE),0)</f>
        <v>0</v>
      </c>
      <c r="M103" s="529">
        <f t="shared" si="25"/>
        <v>0</v>
      </c>
      <c r="N103" s="529">
        <f>IFERROR(VLOOKUP($B103,'3.Tasks'!$BK$4:$BO$23,5,FALSE),0)</f>
        <v>0</v>
      </c>
      <c r="O103" s="529">
        <f t="shared" si="26"/>
        <v>0</v>
      </c>
      <c r="P103" s="530">
        <f t="shared" si="27"/>
        <v>0</v>
      </c>
      <c r="T103" s="110"/>
      <c r="U103" s="110"/>
      <c r="V103" s="110"/>
      <c r="W103" s="110"/>
      <c r="X103" s="110"/>
      <c r="Y103" s="110"/>
      <c r="Z103" s="110"/>
      <c r="AA103" s="110"/>
      <c r="AB103" s="110"/>
      <c r="AC103" s="120"/>
      <c r="AD103" s="110"/>
      <c r="AE103" s="110"/>
      <c r="AF103" s="110"/>
      <c r="AG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row>
    <row r="104" spans="1:64">
      <c r="A104" s="527" t="s">
        <v>696</v>
      </c>
      <c r="B104" s="527" t="s">
        <v>828</v>
      </c>
      <c r="C104" s="527" t="s">
        <v>28</v>
      </c>
      <c r="D104" s="527" t="s">
        <v>0</v>
      </c>
      <c r="E104" s="525" t="s">
        <v>39</v>
      </c>
      <c r="F104" s="526">
        <f>IFERROR(HLOOKUP(C104,'4.Team'!$CI$33:$DB$47,VLOOKUP(A104,$A$705:$B$714,2,FALSE),FALSE),0)</f>
        <v>0</v>
      </c>
      <c r="G104" s="526">
        <f t="shared" si="22"/>
        <v>0</v>
      </c>
      <c r="H104" s="525">
        <f>IFERROR(VLOOKUP($B104,'3.Tasks'!$BK$4:$BO$23,2,FALSE),0)</f>
        <v>0</v>
      </c>
      <c r="I104" s="529">
        <f t="shared" si="23"/>
        <v>0</v>
      </c>
      <c r="J104" s="529">
        <f>IFERROR(VLOOKUP($B104,'3.Tasks'!$BK$4:$BO$23,3,FALSE),0)</f>
        <v>0</v>
      </c>
      <c r="K104" s="529">
        <f t="shared" si="24"/>
        <v>0</v>
      </c>
      <c r="L104" s="529">
        <f>IFERROR(VLOOKUP($B104,'3.Tasks'!$BK$4:$BO$23,4,FALSE),0)</f>
        <v>0</v>
      </c>
      <c r="M104" s="529">
        <f t="shared" si="25"/>
        <v>0</v>
      </c>
      <c r="N104" s="529">
        <f>IFERROR(VLOOKUP($B104,'3.Tasks'!$BK$4:$BO$23,5,FALSE),0)</f>
        <v>0</v>
      </c>
      <c r="O104" s="529">
        <f t="shared" si="26"/>
        <v>0</v>
      </c>
      <c r="P104" s="530">
        <f t="shared" si="27"/>
        <v>0</v>
      </c>
      <c r="T104" s="110"/>
      <c r="U104" s="110"/>
      <c r="V104" s="110"/>
      <c r="W104" s="110"/>
      <c r="X104" s="110"/>
      <c r="Y104" s="110"/>
      <c r="Z104" s="110"/>
      <c r="AA104" s="110"/>
      <c r="AB104" s="110"/>
      <c r="AC104" s="120"/>
      <c r="AD104" s="110"/>
      <c r="AE104" s="110"/>
      <c r="AF104" s="110"/>
      <c r="AG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row>
    <row r="105" spans="1:64">
      <c r="A105" s="527" t="s">
        <v>697</v>
      </c>
      <c r="B105" s="527" t="s">
        <v>828</v>
      </c>
      <c r="C105" s="527" t="s">
        <v>28</v>
      </c>
      <c r="D105" s="527" t="s">
        <v>0</v>
      </c>
      <c r="E105" s="525" t="s">
        <v>39</v>
      </c>
      <c r="F105" s="526">
        <f>IFERROR(HLOOKUP(C105,'4.Team'!$CI$33:$DB$47,VLOOKUP(A105,$A$705:$B$714,2,FALSE),FALSE),0)</f>
        <v>0</v>
      </c>
      <c r="G105" s="526">
        <f t="shared" si="22"/>
        <v>0</v>
      </c>
      <c r="H105" s="525">
        <f>IFERROR(VLOOKUP($B105,'3.Tasks'!$BK$4:$BO$23,2,FALSE),0)</f>
        <v>0</v>
      </c>
      <c r="I105" s="529">
        <f t="shared" si="23"/>
        <v>0</v>
      </c>
      <c r="J105" s="529">
        <f>IFERROR(VLOOKUP($B105,'3.Tasks'!$BK$4:$BO$23,3,FALSE),0)</f>
        <v>0</v>
      </c>
      <c r="K105" s="529">
        <f t="shared" si="24"/>
        <v>0</v>
      </c>
      <c r="L105" s="529">
        <f>IFERROR(VLOOKUP($B105,'3.Tasks'!$BK$4:$BO$23,4,FALSE),0)</f>
        <v>0</v>
      </c>
      <c r="M105" s="529">
        <f t="shared" si="25"/>
        <v>0</v>
      </c>
      <c r="N105" s="529">
        <f>IFERROR(VLOOKUP($B105,'3.Tasks'!$BK$4:$BO$23,5,FALSE),0)</f>
        <v>0</v>
      </c>
      <c r="O105" s="529">
        <f t="shared" si="26"/>
        <v>0</v>
      </c>
      <c r="P105" s="530">
        <f t="shared" si="27"/>
        <v>0</v>
      </c>
      <c r="T105" s="110"/>
      <c r="U105" s="110"/>
      <c r="V105" s="110"/>
      <c r="W105" s="110"/>
      <c r="X105" s="110"/>
      <c r="Y105" s="110"/>
      <c r="Z105" s="110"/>
      <c r="AA105" s="110"/>
      <c r="AB105" s="110"/>
      <c r="AC105" s="120"/>
      <c r="AD105" s="110"/>
      <c r="AE105" s="110"/>
      <c r="AF105" s="110"/>
      <c r="AG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row>
    <row r="106" spans="1:64">
      <c r="A106" s="527" t="s">
        <v>698</v>
      </c>
      <c r="B106" s="527" t="s">
        <v>828</v>
      </c>
      <c r="C106" s="527" t="s">
        <v>28</v>
      </c>
      <c r="D106" s="527" t="s">
        <v>0</v>
      </c>
      <c r="E106" s="525" t="s">
        <v>39</v>
      </c>
      <c r="F106" s="526">
        <f>IFERROR(HLOOKUP(C106,'4.Team'!$CI$33:$DB$47,VLOOKUP(A106,$A$705:$B$714,2,FALSE),FALSE),0)</f>
        <v>0</v>
      </c>
      <c r="G106" s="526">
        <f t="shared" si="22"/>
        <v>0</v>
      </c>
      <c r="H106" s="525">
        <f>IFERROR(VLOOKUP($B106,'3.Tasks'!$BK$4:$BO$23,2,FALSE),0)</f>
        <v>0</v>
      </c>
      <c r="I106" s="529">
        <f t="shared" si="23"/>
        <v>0</v>
      </c>
      <c r="J106" s="529">
        <f>IFERROR(VLOOKUP($B106,'3.Tasks'!$BK$4:$BO$23,3,FALSE),0)</f>
        <v>0</v>
      </c>
      <c r="K106" s="529">
        <f t="shared" si="24"/>
        <v>0</v>
      </c>
      <c r="L106" s="529">
        <f>IFERROR(VLOOKUP($B106,'3.Tasks'!$BK$4:$BO$23,4,FALSE),0)</f>
        <v>0</v>
      </c>
      <c r="M106" s="529">
        <f t="shared" si="25"/>
        <v>0</v>
      </c>
      <c r="N106" s="529">
        <f>IFERROR(VLOOKUP($B106,'3.Tasks'!$BK$4:$BO$23,5,FALSE),0)</f>
        <v>0</v>
      </c>
      <c r="O106" s="529">
        <f t="shared" si="26"/>
        <v>0</v>
      </c>
      <c r="P106" s="530">
        <f t="shared" si="27"/>
        <v>0</v>
      </c>
      <c r="T106" s="110"/>
      <c r="U106" s="110"/>
      <c r="V106" s="110"/>
      <c r="W106" s="110"/>
      <c r="X106" s="110"/>
      <c r="Y106" s="110"/>
      <c r="Z106" s="110"/>
      <c r="AA106" s="110"/>
      <c r="AB106" s="110"/>
      <c r="AC106" s="120"/>
      <c r="AD106" s="110"/>
      <c r="AE106" s="110"/>
      <c r="AF106" s="110"/>
      <c r="AG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row>
    <row r="107" spans="1:64">
      <c r="A107" s="527" t="s">
        <v>699</v>
      </c>
      <c r="B107" s="527" t="s">
        <v>828</v>
      </c>
      <c r="C107" s="527" t="s">
        <v>28</v>
      </c>
      <c r="D107" s="527" t="s">
        <v>0</v>
      </c>
      <c r="E107" s="525" t="s">
        <v>39</v>
      </c>
      <c r="F107" s="526">
        <f>IFERROR(HLOOKUP(C107,'4.Team'!$CI$33:$DB$47,VLOOKUP(A107,$A$705:$B$714,2,FALSE),FALSE),0)</f>
        <v>0</v>
      </c>
      <c r="G107" s="526">
        <f t="shared" si="22"/>
        <v>0</v>
      </c>
      <c r="H107" s="525">
        <f>IFERROR(VLOOKUP($B107,'3.Tasks'!$BK$4:$BO$23,2,FALSE),0)</f>
        <v>0</v>
      </c>
      <c r="I107" s="529">
        <f t="shared" si="23"/>
        <v>0</v>
      </c>
      <c r="J107" s="529">
        <f>IFERROR(VLOOKUP($B107,'3.Tasks'!$BK$4:$BO$23,3,FALSE),0)</f>
        <v>0</v>
      </c>
      <c r="K107" s="529">
        <f t="shared" si="24"/>
        <v>0</v>
      </c>
      <c r="L107" s="529">
        <f>IFERROR(VLOOKUP($B107,'3.Tasks'!$BK$4:$BO$23,4,FALSE),0)</f>
        <v>0</v>
      </c>
      <c r="M107" s="529">
        <f t="shared" si="25"/>
        <v>0</v>
      </c>
      <c r="N107" s="529">
        <f>IFERROR(VLOOKUP($B107,'3.Tasks'!$BK$4:$BO$23,5,FALSE),0)</f>
        <v>0</v>
      </c>
      <c r="O107" s="529">
        <f t="shared" si="26"/>
        <v>0</v>
      </c>
      <c r="P107" s="530">
        <f t="shared" si="27"/>
        <v>0</v>
      </c>
      <c r="T107" s="110"/>
      <c r="U107" s="110"/>
      <c r="V107" s="110"/>
      <c r="W107" s="110"/>
      <c r="X107" s="110"/>
      <c r="Y107" s="110"/>
      <c r="Z107" s="110"/>
      <c r="AA107" s="110"/>
      <c r="AB107" s="110"/>
      <c r="AC107" s="120"/>
      <c r="AD107" s="110"/>
      <c r="AE107" s="110"/>
      <c r="AF107" s="110"/>
      <c r="AG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row>
    <row r="108" spans="1:64">
      <c r="A108" s="527" t="s">
        <v>700</v>
      </c>
      <c r="B108" s="527" t="s">
        <v>828</v>
      </c>
      <c r="C108" s="527" t="s">
        <v>28</v>
      </c>
      <c r="D108" s="527" t="s">
        <v>0</v>
      </c>
      <c r="E108" s="525" t="s">
        <v>39</v>
      </c>
      <c r="F108" s="526">
        <f>IFERROR(HLOOKUP(C108,'4.Team'!$CI$33:$DB$47,VLOOKUP(A108,$A$705:$B$714,2,FALSE),FALSE),0)</f>
        <v>0</v>
      </c>
      <c r="G108" s="526">
        <f t="shared" si="22"/>
        <v>0</v>
      </c>
      <c r="H108" s="525">
        <f>IFERROR(VLOOKUP($B108,'3.Tasks'!$BK$4:$BO$23,2,FALSE),0)</f>
        <v>0</v>
      </c>
      <c r="I108" s="529">
        <f t="shared" si="23"/>
        <v>0</v>
      </c>
      <c r="J108" s="529">
        <f>IFERROR(VLOOKUP($B108,'3.Tasks'!$BK$4:$BO$23,3,FALSE),0)</f>
        <v>0</v>
      </c>
      <c r="K108" s="529">
        <f t="shared" si="24"/>
        <v>0</v>
      </c>
      <c r="L108" s="529">
        <f>IFERROR(VLOOKUP($B108,'3.Tasks'!$BK$4:$BO$23,4,FALSE),0)</f>
        <v>0</v>
      </c>
      <c r="M108" s="529">
        <f t="shared" si="25"/>
        <v>0</v>
      </c>
      <c r="N108" s="529">
        <f>IFERROR(VLOOKUP($B108,'3.Tasks'!$BK$4:$BO$23,5,FALSE),0)</f>
        <v>0</v>
      </c>
      <c r="O108" s="529">
        <f t="shared" si="26"/>
        <v>0</v>
      </c>
      <c r="P108" s="530">
        <f t="shared" si="27"/>
        <v>0</v>
      </c>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row>
    <row r="109" spans="1:64">
      <c r="A109" s="527" t="s">
        <v>701</v>
      </c>
      <c r="B109" s="527" t="s">
        <v>828</v>
      </c>
      <c r="C109" s="527" t="s">
        <v>28</v>
      </c>
      <c r="D109" s="527" t="s">
        <v>0</v>
      </c>
      <c r="E109" s="525" t="s">
        <v>39</v>
      </c>
      <c r="F109" s="526">
        <f>IFERROR(HLOOKUP(C109,'4.Team'!$CI$33:$DB$47,VLOOKUP(A109,$A$705:$B$714,2,FALSE),FALSE),0)</f>
        <v>0</v>
      </c>
      <c r="G109" s="526">
        <f t="shared" si="22"/>
        <v>0</v>
      </c>
      <c r="H109" s="525">
        <f>IFERROR(VLOOKUP($B109,'3.Tasks'!$BK$4:$BO$23,2,FALSE),0)</f>
        <v>0</v>
      </c>
      <c r="I109" s="529">
        <f t="shared" si="23"/>
        <v>0</v>
      </c>
      <c r="J109" s="529">
        <f>IFERROR(VLOOKUP($B109,'3.Tasks'!$BK$4:$BO$23,3,FALSE),0)</f>
        <v>0</v>
      </c>
      <c r="K109" s="529">
        <f t="shared" si="24"/>
        <v>0</v>
      </c>
      <c r="L109" s="529">
        <f>IFERROR(VLOOKUP($B109,'3.Tasks'!$BK$4:$BO$23,4,FALSE),0)</f>
        <v>0</v>
      </c>
      <c r="M109" s="529">
        <f t="shared" si="25"/>
        <v>0</v>
      </c>
      <c r="N109" s="529">
        <f>IFERROR(VLOOKUP($B109,'3.Tasks'!$BK$4:$BO$23,5,FALSE),0)</f>
        <v>0</v>
      </c>
      <c r="O109" s="529">
        <f t="shared" si="26"/>
        <v>0</v>
      </c>
      <c r="P109" s="530">
        <f t="shared" si="27"/>
        <v>0</v>
      </c>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row>
    <row r="110" spans="1:64">
      <c r="A110" s="527" t="s">
        <v>702</v>
      </c>
      <c r="B110" s="527" t="s">
        <v>828</v>
      </c>
      <c r="C110" s="527" t="s">
        <v>28</v>
      </c>
      <c r="D110" s="527" t="s">
        <v>0</v>
      </c>
      <c r="E110" s="525" t="s">
        <v>39</v>
      </c>
      <c r="F110" s="526">
        <f>IFERROR(HLOOKUP(C110,'4.Team'!$CI$33:$DB$47,VLOOKUP(A110,$A$705:$B$714,2,FALSE),FALSE),0)</f>
        <v>0</v>
      </c>
      <c r="G110" s="526">
        <f t="shared" si="22"/>
        <v>0</v>
      </c>
      <c r="H110" s="525">
        <f>IFERROR(VLOOKUP($B110,'3.Tasks'!$BK$4:$BO$23,2,FALSE),0)</f>
        <v>0</v>
      </c>
      <c r="I110" s="529">
        <f t="shared" si="23"/>
        <v>0</v>
      </c>
      <c r="J110" s="529">
        <f>IFERROR(VLOOKUP($B110,'3.Tasks'!$BK$4:$BO$23,3,FALSE),0)</f>
        <v>0</v>
      </c>
      <c r="K110" s="529">
        <f t="shared" si="24"/>
        <v>0</v>
      </c>
      <c r="L110" s="529">
        <f>IFERROR(VLOOKUP($B110,'3.Tasks'!$BK$4:$BO$23,4,FALSE),0)</f>
        <v>0</v>
      </c>
      <c r="M110" s="529">
        <f t="shared" si="25"/>
        <v>0</v>
      </c>
      <c r="N110" s="529">
        <f>IFERROR(VLOOKUP($B110,'3.Tasks'!$BK$4:$BO$23,5,FALSE),0)</f>
        <v>0</v>
      </c>
      <c r="O110" s="529">
        <f t="shared" si="26"/>
        <v>0</v>
      </c>
      <c r="P110" s="530">
        <f t="shared" si="27"/>
        <v>0</v>
      </c>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row>
    <row r="111" spans="1:64">
      <c r="A111" s="527" t="s">
        <v>703</v>
      </c>
      <c r="B111" s="527" t="s">
        <v>828</v>
      </c>
      <c r="C111" s="527" t="s">
        <v>28</v>
      </c>
      <c r="D111" s="527" t="s">
        <v>0</v>
      </c>
      <c r="E111" s="525" t="s">
        <v>39</v>
      </c>
      <c r="F111" s="526">
        <f>IFERROR(HLOOKUP(C111,'4.Team'!$CI$33:$DB$47,VLOOKUP(A111,$A$705:$B$714,2,FALSE),FALSE),0)</f>
        <v>0</v>
      </c>
      <c r="G111" s="526">
        <f t="shared" si="22"/>
        <v>0</v>
      </c>
      <c r="H111" s="525">
        <f>IFERROR(VLOOKUP($B111,'3.Tasks'!$BK$4:$BO$23,2,FALSE),0)</f>
        <v>0</v>
      </c>
      <c r="I111" s="529">
        <f t="shared" si="23"/>
        <v>0</v>
      </c>
      <c r="J111" s="529">
        <f>IFERROR(VLOOKUP($B111,'3.Tasks'!$BK$4:$BO$23,3,FALSE),0)</f>
        <v>0</v>
      </c>
      <c r="K111" s="529">
        <f t="shared" si="24"/>
        <v>0</v>
      </c>
      <c r="L111" s="529">
        <f>IFERROR(VLOOKUP($B111,'3.Tasks'!$BK$4:$BO$23,4,FALSE),0)</f>
        <v>0</v>
      </c>
      <c r="M111" s="529">
        <f t="shared" si="25"/>
        <v>0</v>
      </c>
      <c r="N111" s="529">
        <f>IFERROR(VLOOKUP($B111,'3.Tasks'!$BK$4:$BO$23,5,FALSE),0)</f>
        <v>0</v>
      </c>
      <c r="O111" s="529">
        <f t="shared" si="26"/>
        <v>0</v>
      </c>
      <c r="P111" s="530">
        <f t="shared" si="27"/>
        <v>0</v>
      </c>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row>
    <row r="112" spans="1:64">
      <c r="A112" s="527" t="s">
        <v>694</v>
      </c>
      <c r="B112" s="527" t="s">
        <v>829</v>
      </c>
      <c r="C112" s="527" t="s">
        <v>29</v>
      </c>
      <c r="D112" s="527" t="s">
        <v>0</v>
      </c>
      <c r="E112" s="525" t="s">
        <v>39</v>
      </c>
      <c r="F112" s="526">
        <f>IFERROR(HLOOKUP(C112,'4.Team'!$CI$33:$DB$47,VLOOKUP(A112,$A$705:$B$714,2,FALSE),FALSE),0)</f>
        <v>0</v>
      </c>
      <c r="G112" s="526">
        <f t="shared" si="22"/>
        <v>0</v>
      </c>
      <c r="H112" s="525">
        <f>IFERROR(VLOOKUP($B112,'3.Tasks'!$BK$4:$BO$23,2,FALSE),0)</f>
        <v>0</v>
      </c>
      <c r="I112" s="529">
        <f t="shared" si="23"/>
        <v>0</v>
      </c>
      <c r="J112" s="529">
        <f>IFERROR(VLOOKUP($B112,'3.Tasks'!$BK$4:$BO$23,3,FALSE),0)</f>
        <v>0</v>
      </c>
      <c r="K112" s="529">
        <f t="shared" si="24"/>
        <v>0</v>
      </c>
      <c r="L112" s="529">
        <f>IFERROR(VLOOKUP($B112,'3.Tasks'!$BK$4:$BO$23,4,FALSE),0)</f>
        <v>0</v>
      </c>
      <c r="M112" s="529">
        <f t="shared" si="25"/>
        <v>0</v>
      </c>
      <c r="N112" s="529">
        <f>IFERROR(VLOOKUP($B112,'3.Tasks'!$BK$4:$BO$23,5,FALSE),0)</f>
        <v>0</v>
      </c>
      <c r="O112" s="529">
        <f t="shared" si="26"/>
        <v>0</v>
      </c>
      <c r="P112" s="530">
        <f t="shared" si="27"/>
        <v>0</v>
      </c>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row>
    <row r="113" spans="1:64">
      <c r="A113" s="527" t="s">
        <v>695</v>
      </c>
      <c r="B113" s="527" t="s">
        <v>829</v>
      </c>
      <c r="C113" s="527" t="s">
        <v>29</v>
      </c>
      <c r="D113" s="527" t="s">
        <v>0</v>
      </c>
      <c r="E113" s="525" t="s">
        <v>39</v>
      </c>
      <c r="F113" s="526">
        <f>IFERROR(HLOOKUP(C113,'4.Team'!$CI$33:$DB$47,VLOOKUP(A113,$A$705:$B$714,2,FALSE),FALSE),0)</f>
        <v>0</v>
      </c>
      <c r="G113" s="526">
        <f t="shared" si="22"/>
        <v>0</v>
      </c>
      <c r="H113" s="525">
        <f>IFERROR(VLOOKUP($B113,'3.Tasks'!$BK$4:$BO$23,2,FALSE),0)</f>
        <v>0</v>
      </c>
      <c r="I113" s="529">
        <f t="shared" si="23"/>
        <v>0</v>
      </c>
      <c r="J113" s="529">
        <f>IFERROR(VLOOKUP($B113,'3.Tasks'!$BK$4:$BO$23,3,FALSE),0)</f>
        <v>0</v>
      </c>
      <c r="K113" s="529">
        <f t="shared" si="24"/>
        <v>0</v>
      </c>
      <c r="L113" s="529">
        <f>IFERROR(VLOOKUP($B113,'3.Tasks'!$BK$4:$BO$23,4,FALSE),0)</f>
        <v>0</v>
      </c>
      <c r="M113" s="529">
        <f t="shared" si="25"/>
        <v>0</v>
      </c>
      <c r="N113" s="529">
        <f>IFERROR(VLOOKUP($B113,'3.Tasks'!$BK$4:$BO$23,5,FALSE),0)</f>
        <v>0</v>
      </c>
      <c r="O113" s="529">
        <f t="shared" si="26"/>
        <v>0</v>
      </c>
      <c r="P113" s="530">
        <f t="shared" si="27"/>
        <v>0</v>
      </c>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row>
    <row r="114" spans="1:64">
      <c r="A114" s="527" t="s">
        <v>696</v>
      </c>
      <c r="B114" s="527" t="s">
        <v>829</v>
      </c>
      <c r="C114" s="527" t="s">
        <v>29</v>
      </c>
      <c r="D114" s="527" t="s">
        <v>0</v>
      </c>
      <c r="E114" s="525" t="s">
        <v>39</v>
      </c>
      <c r="F114" s="526">
        <f>IFERROR(HLOOKUP(C114,'4.Team'!$CI$33:$DB$47,VLOOKUP(A114,$A$705:$B$714,2,FALSE),FALSE),0)</f>
        <v>0</v>
      </c>
      <c r="G114" s="526">
        <f t="shared" si="22"/>
        <v>0</v>
      </c>
      <c r="H114" s="525">
        <f>IFERROR(VLOOKUP($B114,'3.Tasks'!$BK$4:$BO$23,2,FALSE),0)</f>
        <v>0</v>
      </c>
      <c r="I114" s="529">
        <f t="shared" si="23"/>
        <v>0</v>
      </c>
      <c r="J114" s="529">
        <f>IFERROR(VLOOKUP($B114,'3.Tasks'!$BK$4:$BO$23,3,FALSE),0)</f>
        <v>0</v>
      </c>
      <c r="K114" s="529">
        <f t="shared" si="24"/>
        <v>0</v>
      </c>
      <c r="L114" s="529">
        <f>IFERROR(VLOOKUP($B114,'3.Tasks'!$BK$4:$BO$23,4,FALSE),0)</f>
        <v>0</v>
      </c>
      <c r="M114" s="529">
        <f t="shared" si="25"/>
        <v>0</v>
      </c>
      <c r="N114" s="529">
        <f>IFERROR(VLOOKUP($B114,'3.Tasks'!$BK$4:$BO$23,5,FALSE),0)</f>
        <v>0</v>
      </c>
      <c r="O114" s="529">
        <f t="shared" si="26"/>
        <v>0</v>
      </c>
      <c r="P114" s="530">
        <f t="shared" si="27"/>
        <v>0</v>
      </c>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row>
    <row r="115" spans="1:64">
      <c r="A115" s="527" t="s">
        <v>697</v>
      </c>
      <c r="B115" s="527" t="s">
        <v>829</v>
      </c>
      <c r="C115" s="527" t="s">
        <v>29</v>
      </c>
      <c r="D115" s="527" t="s">
        <v>0</v>
      </c>
      <c r="E115" s="525" t="s">
        <v>39</v>
      </c>
      <c r="F115" s="526">
        <f>IFERROR(HLOOKUP(C115,'4.Team'!$CI$33:$DB$47,VLOOKUP(A115,$A$705:$B$714,2,FALSE),FALSE),0)</f>
        <v>0</v>
      </c>
      <c r="G115" s="526">
        <f t="shared" si="22"/>
        <v>0</v>
      </c>
      <c r="H115" s="525">
        <f>IFERROR(VLOOKUP($B115,'3.Tasks'!$BK$4:$BO$23,2,FALSE),0)</f>
        <v>0</v>
      </c>
      <c r="I115" s="529">
        <f t="shared" si="23"/>
        <v>0</v>
      </c>
      <c r="J115" s="529">
        <f>IFERROR(VLOOKUP($B115,'3.Tasks'!$BK$4:$BO$23,3,FALSE),0)</f>
        <v>0</v>
      </c>
      <c r="K115" s="529">
        <f t="shared" si="24"/>
        <v>0</v>
      </c>
      <c r="L115" s="529">
        <f>IFERROR(VLOOKUP($B115,'3.Tasks'!$BK$4:$BO$23,4,FALSE),0)</f>
        <v>0</v>
      </c>
      <c r="M115" s="529">
        <f t="shared" si="25"/>
        <v>0</v>
      </c>
      <c r="N115" s="529">
        <f>IFERROR(VLOOKUP($B115,'3.Tasks'!$BK$4:$BO$23,5,FALSE),0)</f>
        <v>0</v>
      </c>
      <c r="O115" s="529">
        <f t="shared" si="26"/>
        <v>0</v>
      </c>
      <c r="P115" s="530">
        <f t="shared" si="27"/>
        <v>0</v>
      </c>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row>
    <row r="116" spans="1:64">
      <c r="A116" s="527" t="s">
        <v>698</v>
      </c>
      <c r="B116" s="527" t="s">
        <v>829</v>
      </c>
      <c r="C116" s="527" t="s">
        <v>29</v>
      </c>
      <c r="D116" s="527" t="s">
        <v>0</v>
      </c>
      <c r="E116" s="525" t="s">
        <v>39</v>
      </c>
      <c r="F116" s="526">
        <f>IFERROR(HLOOKUP(C116,'4.Team'!$CI$33:$DB$47,VLOOKUP(A116,$A$705:$B$714,2,FALSE),FALSE),0)</f>
        <v>0</v>
      </c>
      <c r="G116" s="526">
        <f t="shared" si="22"/>
        <v>0</v>
      </c>
      <c r="H116" s="525">
        <f>IFERROR(VLOOKUP($B116,'3.Tasks'!$BK$4:$BO$23,2,FALSE),0)</f>
        <v>0</v>
      </c>
      <c r="I116" s="529">
        <f t="shared" si="23"/>
        <v>0</v>
      </c>
      <c r="J116" s="529">
        <f>IFERROR(VLOOKUP($B116,'3.Tasks'!$BK$4:$BO$23,3,FALSE),0)</f>
        <v>0</v>
      </c>
      <c r="K116" s="529">
        <f t="shared" si="24"/>
        <v>0</v>
      </c>
      <c r="L116" s="529">
        <f>IFERROR(VLOOKUP($B116,'3.Tasks'!$BK$4:$BO$23,4,FALSE),0)</f>
        <v>0</v>
      </c>
      <c r="M116" s="529">
        <f t="shared" si="25"/>
        <v>0</v>
      </c>
      <c r="N116" s="529">
        <f>IFERROR(VLOOKUP($B116,'3.Tasks'!$BK$4:$BO$23,5,FALSE),0)</f>
        <v>0</v>
      </c>
      <c r="O116" s="529">
        <f t="shared" si="26"/>
        <v>0</v>
      </c>
      <c r="P116" s="530">
        <f t="shared" si="27"/>
        <v>0</v>
      </c>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row>
    <row r="117" spans="1:64">
      <c r="A117" s="527" t="s">
        <v>699</v>
      </c>
      <c r="B117" s="527" t="s">
        <v>829</v>
      </c>
      <c r="C117" s="527" t="s">
        <v>29</v>
      </c>
      <c r="D117" s="527" t="s">
        <v>0</v>
      </c>
      <c r="E117" s="525" t="s">
        <v>39</v>
      </c>
      <c r="F117" s="526">
        <f>IFERROR(HLOOKUP(C117,'4.Team'!$CI$33:$DB$47,VLOOKUP(A117,$A$705:$B$714,2,FALSE),FALSE),0)</f>
        <v>0</v>
      </c>
      <c r="G117" s="526">
        <f t="shared" si="22"/>
        <v>0</v>
      </c>
      <c r="H117" s="525">
        <f>IFERROR(VLOOKUP($B117,'3.Tasks'!$BK$4:$BO$23,2,FALSE),0)</f>
        <v>0</v>
      </c>
      <c r="I117" s="529">
        <f t="shared" si="23"/>
        <v>0</v>
      </c>
      <c r="J117" s="529">
        <f>IFERROR(VLOOKUP($B117,'3.Tasks'!$BK$4:$BO$23,3,FALSE),0)</f>
        <v>0</v>
      </c>
      <c r="K117" s="529">
        <f t="shared" si="24"/>
        <v>0</v>
      </c>
      <c r="L117" s="529">
        <f>IFERROR(VLOOKUP($B117,'3.Tasks'!$BK$4:$BO$23,4,FALSE),0)</f>
        <v>0</v>
      </c>
      <c r="M117" s="529">
        <f t="shared" si="25"/>
        <v>0</v>
      </c>
      <c r="N117" s="529">
        <f>IFERROR(VLOOKUP($B117,'3.Tasks'!$BK$4:$BO$23,5,FALSE),0)</f>
        <v>0</v>
      </c>
      <c r="O117" s="529">
        <f t="shared" si="26"/>
        <v>0</v>
      </c>
      <c r="P117" s="530">
        <f t="shared" si="27"/>
        <v>0</v>
      </c>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row>
    <row r="118" spans="1:64">
      <c r="A118" s="527" t="s">
        <v>700</v>
      </c>
      <c r="B118" s="527" t="s">
        <v>829</v>
      </c>
      <c r="C118" s="527" t="s">
        <v>29</v>
      </c>
      <c r="D118" s="527" t="s">
        <v>0</v>
      </c>
      <c r="E118" s="525" t="s">
        <v>39</v>
      </c>
      <c r="F118" s="526">
        <f>IFERROR(HLOOKUP(C118,'4.Team'!$CI$33:$DB$47,VLOOKUP(A118,$A$705:$B$714,2,FALSE),FALSE),0)</f>
        <v>0</v>
      </c>
      <c r="G118" s="526">
        <f t="shared" si="22"/>
        <v>0</v>
      </c>
      <c r="H118" s="525">
        <f>IFERROR(VLOOKUP($B118,'3.Tasks'!$BK$4:$BO$23,2,FALSE),0)</f>
        <v>0</v>
      </c>
      <c r="I118" s="529">
        <f t="shared" si="23"/>
        <v>0</v>
      </c>
      <c r="J118" s="529">
        <f>IFERROR(VLOOKUP($B118,'3.Tasks'!$BK$4:$BO$23,3,FALSE),0)</f>
        <v>0</v>
      </c>
      <c r="K118" s="529">
        <f t="shared" si="24"/>
        <v>0</v>
      </c>
      <c r="L118" s="529">
        <f>IFERROR(VLOOKUP($B118,'3.Tasks'!$BK$4:$BO$23,4,FALSE),0)</f>
        <v>0</v>
      </c>
      <c r="M118" s="529">
        <f t="shared" si="25"/>
        <v>0</v>
      </c>
      <c r="N118" s="529">
        <f>IFERROR(VLOOKUP($B118,'3.Tasks'!$BK$4:$BO$23,5,FALSE),0)</f>
        <v>0</v>
      </c>
      <c r="O118" s="529">
        <f t="shared" si="26"/>
        <v>0</v>
      </c>
      <c r="P118" s="530">
        <f t="shared" si="27"/>
        <v>0</v>
      </c>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row>
    <row r="119" spans="1:64">
      <c r="A119" s="527" t="s">
        <v>701</v>
      </c>
      <c r="B119" s="527" t="s">
        <v>829</v>
      </c>
      <c r="C119" s="527" t="s">
        <v>29</v>
      </c>
      <c r="D119" s="527" t="s">
        <v>0</v>
      </c>
      <c r="E119" s="525" t="s">
        <v>39</v>
      </c>
      <c r="F119" s="526">
        <f>IFERROR(HLOOKUP(C119,'4.Team'!$CI$33:$DB$47,VLOOKUP(A119,$A$705:$B$714,2,FALSE),FALSE),0)</f>
        <v>0</v>
      </c>
      <c r="G119" s="526">
        <f t="shared" si="22"/>
        <v>0</v>
      </c>
      <c r="H119" s="525">
        <f>IFERROR(VLOOKUP($B119,'3.Tasks'!$BK$4:$BO$23,2,FALSE),0)</f>
        <v>0</v>
      </c>
      <c r="I119" s="529">
        <f t="shared" si="23"/>
        <v>0</v>
      </c>
      <c r="J119" s="529">
        <f>IFERROR(VLOOKUP($B119,'3.Tasks'!$BK$4:$BO$23,3,FALSE),0)</f>
        <v>0</v>
      </c>
      <c r="K119" s="529">
        <f t="shared" si="24"/>
        <v>0</v>
      </c>
      <c r="L119" s="529">
        <f>IFERROR(VLOOKUP($B119,'3.Tasks'!$BK$4:$BO$23,4,FALSE),0)</f>
        <v>0</v>
      </c>
      <c r="M119" s="529">
        <f t="shared" si="25"/>
        <v>0</v>
      </c>
      <c r="N119" s="529">
        <f>IFERROR(VLOOKUP($B119,'3.Tasks'!$BK$4:$BO$23,5,FALSE),0)</f>
        <v>0</v>
      </c>
      <c r="O119" s="529">
        <f t="shared" si="26"/>
        <v>0</v>
      </c>
      <c r="P119" s="530">
        <f t="shared" si="27"/>
        <v>0</v>
      </c>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row>
    <row r="120" spans="1:64">
      <c r="A120" s="527" t="s">
        <v>702</v>
      </c>
      <c r="B120" s="527" t="s">
        <v>829</v>
      </c>
      <c r="C120" s="527" t="s">
        <v>29</v>
      </c>
      <c r="D120" s="527" t="s">
        <v>0</v>
      </c>
      <c r="E120" s="525" t="s">
        <v>39</v>
      </c>
      <c r="F120" s="526">
        <f>IFERROR(HLOOKUP(C120,'4.Team'!$CI$33:$DB$47,VLOOKUP(A120,$A$705:$B$714,2,FALSE),FALSE),0)</f>
        <v>0</v>
      </c>
      <c r="G120" s="526">
        <f t="shared" si="22"/>
        <v>0</v>
      </c>
      <c r="H120" s="525">
        <f>IFERROR(VLOOKUP($B120,'3.Tasks'!$BK$4:$BO$23,2,FALSE),0)</f>
        <v>0</v>
      </c>
      <c r="I120" s="529">
        <f t="shared" si="23"/>
        <v>0</v>
      </c>
      <c r="J120" s="529">
        <f>IFERROR(VLOOKUP($B120,'3.Tasks'!$BK$4:$BO$23,3,FALSE),0)</f>
        <v>0</v>
      </c>
      <c r="K120" s="529">
        <f t="shared" si="24"/>
        <v>0</v>
      </c>
      <c r="L120" s="529">
        <f>IFERROR(VLOOKUP($B120,'3.Tasks'!$BK$4:$BO$23,4,FALSE),0)</f>
        <v>0</v>
      </c>
      <c r="M120" s="529">
        <f t="shared" si="25"/>
        <v>0</v>
      </c>
      <c r="N120" s="529">
        <f>IFERROR(VLOOKUP($B120,'3.Tasks'!$BK$4:$BO$23,5,FALSE),0)</f>
        <v>0</v>
      </c>
      <c r="O120" s="529">
        <f t="shared" si="26"/>
        <v>0</v>
      </c>
      <c r="P120" s="530">
        <f t="shared" si="27"/>
        <v>0</v>
      </c>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row>
    <row r="121" spans="1:64">
      <c r="A121" s="527" t="s">
        <v>703</v>
      </c>
      <c r="B121" s="527" t="s">
        <v>829</v>
      </c>
      <c r="C121" s="527" t="s">
        <v>29</v>
      </c>
      <c r="D121" s="527" t="s">
        <v>0</v>
      </c>
      <c r="E121" s="525" t="s">
        <v>39</v>
      </c>
      <c r="F121" s="526">
        <f>IFERROR(HLOOKUP(C121,'4.Team'!$CI$33:$DB$47,VLOOKUP(A121,$A$705:$B$714,2,FALSE),FALSE),0)</f>
        <v>0</v>
      </c>
      <c r="G121" s="526">
        <f t="shared" si="22"/>
        <v>0</v>
      </c>
      <c r="H121" s="525">
        <f>IFERROR(VLOOKUP($B121,'3.Tasks'!$BK$4:$BO$23,2,FALSE),0)</f>
        <v>0</v>
      </c>
      <c r="I121" s="529">
        <f t="shared" si="23"/>
        <v>0</v>
      </c>
      <c r="J121" s="529">
        <f>IFERROR(VLOOKUP($B121,'3.Tasks'!$BK$4:$BO$23,3,FALSE),0)</f>
        <v>0</v>
      </c>
      <c r="K121" s="529">
        <f t="shared" si="24"/>
        <v>0</v>
      </c>
      <c r="L121" s="529">
        <f>IFERROR(VLOOKUP($B121,'3.Tasks'!$BK$4:$BO$23,4,FALSE),0)</f>
        <v>0</v>
      </c>
      <c r="M121" s="529">
        <f t="shared" si="25"/>
        <v>0</v>
      </c>
      <c r="N121" s="529">
        <f>IFERROR(VLOOKUP($B121,'3.Tasks'!$BK$4:$BO$23,5,FALSE),0)</f>
        <v>0</v>
      </c>
      <c r="O121" s="529">
        <f t="shared" si="26"/>
        <v>0</v>
      </c>
      <c r="P121" s="530">
        <f t="shared" si="27"/>
        <v>0</v>
      </c>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row>
    <row r="122" spans="1:64">
      <c r="A122" s="527" t="s">
        <v>694</v>
      </c>
      <c r="B122" s="527" t="s">
        <v>830</v>
      </c>
      <c r="C122" s="527" t="s">
        <v>30</v>
      </c>
      <c r="D122" s="527" t="s">
        <v>0</v>
      </c>
      <c r="E122" s="525" t="s">
        <v>39</v>
      </c>
      <c r="F122" s="526">
        <f>IFERROR(HLOOKUP(C122,'4.Team'!$CI$33:$DB$47,VLOOKUP(A122,$A$705:$B$714,2,FALSE),FALSE),0)</f>
        <v>0</v>
      </c>
      <c r="G122" s="526">
        <f t="shared" si="22"/>
        <v>0</v>
      </c>
      <c r="H122" s="525">
        <f>IFERROR(VLOOKUP($B122,'3.Tasks'!$BK$4:$BO$23,2,FALSE),0)</f>
        <v>0</v>
      </c>
      <c r="I122" s="529">
        <f t="shared" si="23"/>
        <v>0</v>
      </c>
      <c r="J122" s="529">
        <f>IFERROR(VLOOKUP($B122,'3.Tasks'!$BK$4:$BO$23,3,FALSE),0)</f>
        <v>0</v>
      </c>
      <c r="K122" s="529">
        <f t="shared" si="24"/>
        <v>0</v>
      </c>
      <c r="L122" s="529">
        <f>IFERROR(VLOOKUP($B122,'3.Tasks'!$BK$4:$BO$23,4,FALSE),0)</f>
        <v>0</v>
      </c>
      <c r="M122" s="529">
        <f t="shared" si="25"/>
        <v>0</v>
      </c>
      <c r="N122" s="529">
        <f>IFERROR(VLOOKUP($B122,'3.Tasks'!$BK$4:$BO$23,5,FALSE),0)</f>
        <v>0</v>
      </c>
      <c r="O122" s="529">
        <f t="shared" si="26"/>
        <v>0</v>
      </c>
      <c r="P122" s="530">
        <f t="shared" si="27"/>
        <v>0</v>
      </c>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row>
    <row r="123" spans="1:64">
      <c r="A123" s="527" t="s">
        <v>695</v>
      </c>
      <c r="B123" s="527" t="s">
        <v>830</v>
      </c>
      <c r="C123" s="527" t="s">
        <v>30</v>
      </c>
      <c r="D123" s="527" t="s">
        <v>0</v>
      </c>
      <c r="E123" s="525" t="s">
        <v>39</v>
      </c>
      <c r="F123" s="526">
        <f>IFERROR(HLOOKUP(C123,'4.Team'!$CI$33:$DB$47,VLOOKUP(A123,$A$705:$B$714,2,FALSE),FALSE),0)</f>
        <v>0</v>
      </c>
      <c r="G123" s="526">
        <f t="shared" si="22"/>
        <v>0</v>
      </c>
      <c r="H123" s="525">
        <f>IFERROR(VLOOKUP($B123,'3.Tasks'!$BK$4:$BO$23,2,FALSE),0)</f>
        <v>0</v>
      </c>
      <c r="I123" s="529">
        <f t="shared" si="23"/>
        <v>0</v>
      </c>
      <c r="J123" s="529">
        <f>IFERROR(VLOOKUP($B123,'3.Tasks'!$BK$4:$BO$23,3,FALSE),0)</f>
        <v>0</v>
      </c>
      <c r="K123" s="529">
        <f t="shared" si="24"/>
        <v>0</v>
      </c>
      <c r="L123" s="529">
        <f>IFERROR(VLOOKUP($B123,'3.Tasks'!$BK$4:$BO$23,4,FALSE),0)</f>
        <v>0</v>
      </c>
      <c r="M123" s="529">
        <f t="shared" si="25"/>
        <v>0</v>
      </c>
      <c r="N123" s="529">
        <f>IFERROR(VLOOKUP($B123,'3.Tasks'!$BK$4:$BO$23,5,FALSE),0)</f>
        <v>0</v>
      </c>
      <c r="O123" s="529">
        <f t="shared" si="26"/>
        <v>0</v>
      </c>
      <c r="P123" s="530">
        <f t="shared" si="27"/>
        <v>0</v>
      </c>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row>
    <row r="124" spans="1:64">
      <c r="A124" s="527" t="s">
        <v>696</v>
      </c>
      <c r="B124" s="527" t="s">
        <v>830</v>
      </c>
      <c r="C124" s="527" t="s">
        <v>30</v>
      </c>
      <c r="D124" s="527" t="s">
        <v>0</v>
      </c>
      <c r="E124" s="525" t="s">
        <v>39</v>
      </c>
      <c r="F124" s="526">
        <f>IFERROR(HLOOKUP(C124,'4.Team'!$CI$33:$DB$47,VLOOKUP(A124,$A$705:$B$714,2,FALSE),FALSE),0)</f>
        <v>0</v>
      </c>
      <c r="G124" s="526">
        <f t="shared" si="22"/>
        <v>0</v>
      </c>
      <c r="H124" s="525">
        <f>IFERROR(VLOOKUP($B124,'3.Tasks'!$BK$4:$BO$23,2,FALSE),0)</f>
        <v>0</v>
      </c>
      <c r="I124" s="529">
        <f t="shared" si="23"/>
        <v>0</v>
      </c>
      <c r="J124" s="529">
        <f>IFERROR(VLOOKUP($B124,'3.Tasks'!$BK$4:$BO$23,3,FALSE),0)</f>
        <v>0</v>
      </c>
      <c r="K124" s="529">
        <f t="shared" si="24"/>
        <v>0</v>
      </c>
      <c r="L124" s="529">
        <f>IFERROR(VLOOKUP($B124,'3.Tasks'!$BK$4:$BO$23,4,FALSE),0)</f>
        <v>0</v>
      </c>
      <c r="M124" s="529">
        <f t="shared" si="25"/>
        <v>0</v>
      </c>
      <c r="N124" s="529">
        <f>IFERROR(VLOOKUP($B124,'3.Tasks'!$BK$4:$BO$23,5,FALSE),0)</f>
        <v>0</v>
      </c>
      <c r="O124" s="529">
        <f t="shared" si="26"/>
        <v>0</v>
      </c>
      <c r="P124" s="530">
        <f t="shared" si="27"/>
        <v>0</v>
      </c>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row>
    <row r="125" spans="1:64">
      <c r="A125" s="527" t="s">
        <v>697</v>
      </c>
      <c r="B125" s="527" t="s">
        <v>830</v>
      </c>
      <c r="C125" s="527" t="s">
        <v>30</v>
      </c>
      <c r="D125" s="527" t="s">
        <v>0</v>
      </c>
      <c r="E125" s="525" t="s">
        <v>39</v>
      </c>
      <c r="F125" s="526">
        <f>IFERROR(HLOOKUP(C125,'4.Team'!$CI$33:$DB$47,VLOOKUP(A125,$A$705:$B$714,2,FALSE),FALSE),0)</f>
        <v>0</v>
      </c>
      <c r="G125" s="526">
        <f t="shared" si="22"/>
        <v>0</v>
      </c>
      <c r="H125" s="525">
        <f>IFERROR(VLOOKUP($B125,'3.Tasks'!$BK$4:$BO$23,2,FALSE),0)</f>
        <v>0</v>
      </c>
      <c r="I125" s="529">
        <f t="shared" si="23"/>
        <v>0</v>
      </c>
      <c r="J125" s="529">
        <f>IFERROR(VLOOKUP($B125,'3.Tasks'!$BK$4:$BO$23,3,FALSE),0)</f>
        <v>0</v>
      </c>
      <c r="K125" s="529">
        <f t="shared" si="24"/>
        <v>0</v>
      </c>
      <c r="L125" s="529">
        <f>IFERROR(VLOOKUP($B125,'3.Tasks'!$BK$4:$BO$23,4,FALSE),0)</f>
        <v>0</v>
      </c>
      <c r="M125" s="529">
        <f t="shared" si="25"/>
        <v>0</v>
      </c>
      <c r="N125" s="529">
        <f>IFERROR(VLOOKUP($B125,'3.Tasks'!$BK$4:$BO$23,5,FALSE),0)</f>
        <v>0</v>
      </c>
      <c r="O125" s="529">
        <f t="shared" si="26"/>
        <v>0</v>
      </c>
      <c r="P125" s="530">
        <f t="shared" si="27"/>
        <v>0</v>
      </c>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row>
    <row r="126" spans="1:64">
      <c r="A126" s="527" t="s">
        <v>698</v>
      </c>
      <c r="B126" s="527" t="s">
        <v>830</v>
      </c>
      <c r="C126" s="527" t="s">
        <v>30</v>
      </c>
      <c r="D126" s="527" t="s">
        <v>0</v>
      </c>
      <c r="E126" s="525" t="s">
        <v>39</v>
      </c>
      <c r="F126" s="526">
        <f>IFERROR(HLOOKUP(C126,'4.Team'!$CI$33:$DB$47,VLOOKUP(A126,$A$705:$B$714,2,FALSE),FALSE),0)</f>
        <v>0</v>
      </c>
      <c r="G126" s="526">
        <f t="shared" si="22"/>
        <v>0</v>
      </c>
      <c r="H126" s="525">
        <f>IFERROR(VLOOKUP($B126,'3.Tasks'!$BK$4:$BO$23,2,FALSE),0)</f>
        <v>0</v>
      </c>
      <c r="I126" s="529">
        <f t="shared" si="23"/>
        <v>0</v>
      </c>
      <c r="J126" s="529">
        <f>IFERROR(VLOOKUP($B126,'3.Tasks'!$BK$4:$BO$23,3,FALSE),0)</f>
        <v>0</v>
      </c>
      <c r="K126" s="529">
        <f t="shared" si="24"/>
        <v>0</v>
      </c>
      <c r="L126" s="529">
        <f>IFERROR(VLOOKUP($B126,'3.Tasks'!$BK$4:$BO$23,4,FALSE),0)</f>
        <v>0</v>
      </c>
      <c r="M126" s="529">
        <f t="shared" si="25"/>
        <v>0</v>
      </c>
      <c r="N126" s="529">
        <f>IFERROR(VLOOKUP($B126,'3.Tasks'!$BK$4:$BO$23,5,FALSE),0)</f>
        <v>0</v>
      </c>
      <c r="O126" s="529">
        <f t="shared" si="26"/>
        <v>0</v>
      </c>
      <c r="P126" s="530">
        <f t="shared" si="27"/>
        <v>0</v>
      </c>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row>
    <row r="127" spans="1:64">
      <c r="A127" s="527" t="s">
        <v>699</v>
      </c>
      <c r="B127" s="527" t="s">
        <v>830</v>
      </c>
      <c r="C127" s="527" t="s">
        <v>30</v>
      </c>
      <c r="D127" s="527" t="s">
        <v>0</v>
      </c>
      <c r="E127" s="525" t="s">
        <v>39</v>
      </c>
      <c r="F127" s="526">
        <f>IFERROR(HLOOKUP(C127,'4.Team'!$CI$33:$DB$47,VLOOKUP(A127,$A$705:$B$714,2,FALSE),FALSE),0)</f>
        <v>0</v>
      </c>
      <c r="G127" s="526">
        <f t="shared" si="22"/>
        <v>0</v>
      </c>
      <c r="H127" s="525">
        <f>IFERROR(VLOOKUP($B127,'3.Tasks'!$BK$4:$BO$23,2,FALSE),0)</f>
        <v>0</v>
      </c>
      <c r="I127" s="529">
        <f t="shared" si="23"/>
        <v>0</v>
      </c>
      <c r="J127" s="529">
        <f>IFERROR(VLOOKUP($B127,'3.Tasks'!$BK$4:$BO$23,3,FALSE),0)</f>
        <v>0</v>
      </c>
      <c r="K127" s="529">
        <f t="shared" si="24"/>
        <v>0</v>
      </c>
      <c r="L127" s="529">
        <f>IFERROR(VLOOKUP($B127,'3.Tasks'!$BK$4:$BO$23,4,FALSE),0)</f>
        <v>0</v>
      </c>
      <c r="M127" s="529">
        <f t="shared" si="25"/>
        <v>0</v>
      </c>
      <c r="N127" s="529">
        <f>IFERROR(VLOOKUP($B127,'3.Tasks'!$BK$4:$BO$23,5,FALSE),0)</f>
        <v>0</v>
      </c>
      <c r="O127" s="529">
        <f t="shared" si="26"/>
        <v>0</v>
      </c>
      <c r="P127" s="530">
        <f t="shared" si="27"/>
        <v>0</v>
      </c>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row>
    <row r="128" spans="1:64">
      <c r="A128" s="527" t="s">
        <v>700</v>
      </c>
      <c r="B128" s="527" t="s">
        <v>830</v>
      </c>
      <c r="C128" s="527" t="s">
        <v>30</v>
      </c>
      <c r="D128" s="527" t="s">
        <v>0</v>
      </c>
      <c r="E128" s="525" t="s">
        <v>39</v>
      </c>
      <c r="F128" s="526">
        <f>IFERROR(HLOOKUP(C128,'4.Team'!$CI$33:$DB$47,VLOOKUP(A128,$A$705:$B$714,2,FALSE),FALSE),0)</f>
        <v>0</v>
      </c>
      <c r="G128" s="526">
        <f t="shared" si="22"/>
        <v>0</v>
      </c>
      <c r="H128" s="525">
        <f>IFERROR(VLOOKUP($B128,'3.Tasks'!$BK$4:$BO$23,2,FALSE),0)</f>
        <v>0</v>
      </c>
      <c r="I128" s="529">
        <f t="shared" si="23"/>
        <v>0</v>
      </c>
      <c r="J128" s="529">
        <f>IFERROR(VLOOKUP($B128,'3.Tasks'!$BK$4:$BO$23,3,FALSE),0)</f>
        <v>0</v>
      </c>
      <c r="K128" s="529">
        <f t="shared" si="24"/>
        <v>0</v>
      </c>
      <c r="L128" s="529">
        <f>IFERROR(VLOOKUP($B128,'3.Tasks'!$BK$4:$BO$23,4,FALSE),0)</f>
        <v>0</v>
      </c>
      <c r="M128" s="529">
        <f t="shared" si="25"/>
        <v>0</v>
      </c>
      <c r="N128" s="529">
        <f>IFERROR(VLOOKUP($B128,'3.Tasks'!$BK$4:$BO$23,5,FALSE),0)</f>
        <v>0</v>
      </c>
      <c r="O128" s="529">
        <f t="shared" si="26"/>
        <v>0</v>
      </c>
      <c r="P128" s="530">
        <f t="shared" si="27"/>
        <v>0</v>
      </c>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row>
    <row r="129" spans="1:64">
      <c r="A129" s="527" t="s">
        <v>701</v>
      </c>
      <c r="B129" s="527" t="s">
        <v>830</v>
      </c>
      <c r="C129" s="527" t="s">
        <v>30</v>
      </c>
      <c r="D129" s="527" t="s">
        <v>0</v>
      </c>
      <c r="E129" s="525" t="s">
        <v>39</v>
      </c>
      <c r="F129" s="526">
        <f>IFERROR(HLOOKUP(C129,'4.Team'!$CI$33:$DB$47,VLOOKUP(A129,$A$705:$B$714,2,FALSE),FALSE),0)</f>
        <v>0</v>
      </c>
      <c r="G129" s="526">
        <f t="shared" si="22"/>
        <v>0</v>
      </c>
      <c r="H129" s="525">
        <f>IFERROR(VLOOKUP($B129,'3.Tasks'!$BK$4:$BO$23,2,FALSE),0)</f>
        <v>0</v>
      </c>
      <c r="I129" s="529">
        <f t="shared" si="23"/>
        <v>0</v>
      </c>
      <c r="J129" s="529">
        <f>IFERROR(VLOOKUP($B129,'3.Tasks'!$BK$4:$BO$23,3,FALSE),0)</f>
        <v>0</v>
      </c>
      <c r="K129" s="529">
        <f t="shared" si="24"/>
        <v>0</v>
      </c>
      <c r="L129" s="529">
        <f>IFERROR(VLOOKUP($B129,'3.Tasks'!$BK$4:$BO$23,4,FALSE),0)</f>
        <v>0</v>
      </c>
      <c r="M129" s="529">
        <f t="shared" si="25"/>
        <v>0</v>
      </c>
      <c r="N129" s="529">
        <f>IFERROR(VLOOKUP($B129,'3.Tasks'!$BK$4:$BO$23,5,FALSE),0)</f>
        <v>0</v>
      </c>
      <c r="O129" s="529">
        <f t="shared" si="26"/>
        <v>0</v>
      </c>
      <c r="P129" s="530">
        <f t="shared" si="27"/>
        <v>0</v>
      </c>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row>
    <row r="130" spans="1:64">
      <c r="A130" s="527" t="s">
        <v>702</v>
      </c>
      <c r="B130" s="527" t="s">
        <v>830</v>
      </c>
      <c r="C130" s="527" t="s">
        <v>30</v>
      </c>
      <c r="D130" s="527" t="s">
        <v>0</v>
      </c>
      <c r="E130" s="525" t="s">
        <v>39</v>
      </c>
      <c r="F130" s="526">
        <f>IFERROR(HLOOKUP(C130,'4.Team'!$CI$33:$DB$47,VLOOKUP(A130,$A$705:$B$714,2,FALSE),FALSE),0)</f>
        <v>0</v>
      </c>
      <c r="G130" s="526">
        <f t="shared" si="22"/>
        <v>0</v>
      </c>
      <c r="H130" s="525">
        <f>IFERROR(VLOOKUP($B130,'3.Tasks'!$BK$4:$BO$23,2,FALSE),0)</f>
        <v>0</v>
      </c>
      <c r="I130" s="529">
        <f t="shared" si="23"/>
        <v>0</v>
      </c>
      <c r="J130" s="529">
        <f>IFERROR(VLOOKUP($B130,'3.Tasks'!$BK$4:$BO$23,3,FALSE),0)</f>
        <v>0</v>
      </c>
      <c r="K130" s="529">
        <f t="shared" si="24"/>
        <v>0</v>
      </c>
      <c r="L130" s="529">
        <f>IFERROR(VLOOKUP($B130,'3.Tasks'!$BK$4:$BO$23,4,FALSE),0)</f>
        <v>0</v>
      </c>
      <c r="M130" s="529">
        <f t="shared" si="25"/>
        <v>0</v>
      </c>
      <c r="N130" s="529">
        <f>IFERROR(VLOOKUP($B130,'3.Tasks'!$BK$4:$BO$23,5,FALSE),0)</f>
        <v>0</v>
      </c>
      <c r="O130" s="529">
        <f t="shared" si="26"/>
        <v>0</v>
      </c>
      <c r="P130" s="530">
        <f t="shared" si="27"/>
        <v>0</v>
      </c>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row>
    <row r="131" spans="1:64">
      <c r="A131" s="527" t="s">
        <v>703</v>
      </c>
      <c r="B131" s="527" t="s">
        <v>830</v>
      </c>
      <c r="C131" s="527" t="s">
        <v>30</v>
      </c>
      <c r="D131" s="527" t="s">
        <v>0</v>
      </c>
      <c r="E131" s="525" t="s">
        <v>39</v>
      </c>
      <c r="F131" s="526">
        <f>IFERROR(HLOOKUP(C131,'4.Team'!$CI$33:$DB$47,VLOOKUP(A131,$A$705:$B$714,2,FALSE),FALSE),0)</f>
        <v>0</v>
      </c>
      <c r="G131" s="526">
        <f t="shared" ref="G131:G194" si="28">IFERROR((H131+J131+L131+N131),0)</f>
        <v>0</v>
      </c>
      <c r="H131" s="525">
        <f>IFERROR(VLOOKUP($B131,'3.Tasks'!$BK$4:$BO$23,2,FALSE),0)</f>
        <v>0</v>
      </c>
      <c r="I131" s="529">
        <f t="shared" ref="I131:I194" si="29">IFERROR(($F131/$G131*H131),0)</f>
        <v>0</v>
      </c>
      <c r="J131" s="529">
        <f>IFERROR(VLOOKUP($B131,'3.Tasks'!$BK$4:$BO$23,3,FALSE),0)</f>
        <v>0</v>
      </c>
      <c r="K131" s="529">
        <f t="shared" ref="K131:K194" si="30">IFERROR(($F131/$G131*J131),0)</f>
        <v>0</v>
      </c>
      <c r="L131" s="529">
        <f>IFERROR(VLOOKUP($B131,'3.Tasks'!$BK$4:$BO$23,4,FALSE),0)</f>
        <v>0</v>
      </c>
      <c r="M131" s="529">
        <f t="shared" ref="M131:M194" si="31">IFERROR(($F131/$G131*L131),0)</f>
        <v>0</v>
      </c>
      <c r="N131" s="529">
        <f>IFERROR(VLOOKUP($B131,'3.Tasks'!$BK$4:$BO$23,5,FALSE),0)</f>
        <v>0</v>
      </c>
      <c r="O131" s="529">
        <f t="shared" ref="O131:O194" si="32">IFERROR(($F131/$G131*N131),0)</f>
        <v>0</v>
      </c>
      <c r="P131" s="530">
        <f t="shared" ref="P131:P194" si="33">+F131-I131-K131-M131-O131</f>
        <v>0</v>
      </c>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row>
    <row r="132" spans="1:64">
      <c r="A132" s="527" t="s">
        <v>694</v>
      </c>
      <c r="B132" s="527" t="s">
        <v>831</v>
      </c>
      <c r="C132" s="527" t="s">
        <v>31</v>
      </c>
      <c r="D132" s="527" t="s">
        <v>0</v>
      </c>
      <c r="E132" s="525" t="s">
        <v>39</v>
      </c>
      <c r="F132" s="526">
        <f>IFERROR(HLOOKUP(C132,'4.Team'!$CI$33:$DB$47,VLOOKUP(A132,$A$705:$B$714,2,FALSE),FALSE),0)</f>
        <v>0</v>
      </c>
      <c r="G132" s="526">
        <f t="shared" si="28"/>
        <v>0</v>
      </c>
      <c r="H132" s="525">
        <f>IFERROR(VLOOKUP($B132,'3.Tasks'!$BK$4:$BO$23,2,FALSE),0)</f>
        <v>0</v>
      </c>
      <c r="I132" s="529">
        <f t="shared" si="29"/>
        <v>0</v>
      </c>
      <c r="J132" s="529">
        <f>IFERROR(VLOOKUP($B132,'3.Tasks'!$BK$4:$BO$23,3,FALSE),0)</f>
        <v>0</v>
      </c>
      <c r="K132" s="529">
        <f t="shared" si="30"/>
        <v>0</v>
      </c>
      <c r="L132" s="529">
        <f>IFERROR(VLOOKUP($B132,'3.Tasks'!$BK$4:$BO$23,4,FALSE),0)</f>
        <v>0</v>
      </c>
      <c r="M132" s="529">
        <f t="shared" si="31"/>
        <v>0</v>
      </c>
      <c r="N132" s="529">
        <f>IFERROR(VLOOKUP($B132,'3.Tasks'!$BK$4:$BO$23,5,FALSE),0)</f>
        <v>0</v>
      </c>
      <c r="O132" s="529">
        <f t="shared" si="32"/>
        <v>0</v>
      </c>
      <c r="P132" s="530">
        <f t="shared" si="33"/>
        <v>0</v>
      </c>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row>
    <row r="133" spans="1:64">
      <c r="A133" s="527" t="s">
        <v>695</v>
      </c>
      <c r="B133" s="527" t="s">
        <v>831</v>
      </c>
      <c r="C133" s="527" t="s">
        <v>31</v>
      </c>
      <c r="D133" s="527" t="s">
        <v>0</v>
      </c>
      <c r="E133" s="525" t="s">
        <v>39</v>
      </c>
      <c r="F133" s="526">
        <f>IFERROR(HLOOKUP(C133,'4.Team'!$CI$33:$DB$47,VLOOKUP(A133,$A$705:$B$714,2,FALSE),FALSE),0)</f>
        <v>0</v>
      </c>
      <c r="G133" s="526">
        <f t="shared" si="28"/>
        <v>0</v>
      </c>
      <c r="H133" s="525">
        <f>IFERROR(VLOOKUP($B133,'3.Tasks'!$BK$4:$BO$23,2,FALSE),0)</f>
        <v>0</v>
      </c>
      <c r="I133" s="529">
        <f t="shared" si="29"/>
        <v>0</v>
      </c>
      <c r="J133" s="529">
        <f>IFERROR(VLOOKUP($B133,'3.Tasks'!$BK$4:$BO$23,3,FALSE),0)</f>
        <v>0</v>
      </c>
      <c r="K133" s="529">
        <f t="shared" si="30"/>
        <v>0</v>
      </c>
      <c r="L133" s="529">
        <f>IFERROR(VLOOKUP($B133,'3.Tasks'!$BK$4:$BO$23,4,FALSE),0)</f>
        <v>0</v>
      </c>
      <c r="M133" s="529">
        <f t="shared" si="31"/>
        <v>0</v>
      </c>
      <c r="N133" s="529">
        <f>IFERROR(VLOOKUP($B133,'3.Tasks'!$BK$4:$BO$23,5,FALSE),0)</f>
        <v>0</v>
      </c>
      <c r="O133" s="529">
        <f t="shared" si="32"/>
        <v>0</v>
      </c>
      <c r="P133" s="530">
        <f t="shared" si="33"/>
        <v>0</v>
      </c>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row>
    <row r="134" spans="1:64">
      <c r="A134" s="527" t="s">
        <v>696</v>
      </c>
      <c r="B134" s="527" t="s">
        <v>831</v>
      </c>
      <c r="C134" s="527" t="s">
        <v>31</v>
      </c>
      <c r="D134" s="527" t="s">
        <v>0</v>
      </c>
      <c r="E134" s="525" t="s">
        <v>39</v>
      </c>
      <c r="F134" s="526">
        <f>IFERROR(HLOOKUP(C134,'4.Team'!$CI$33:$DB$47,VLOOKUP(A134,$A$705:$B$714,2,FALSE),FALSE),0)</f>
        <v>0</v>
      </c>
      <c r="G134" s="526">
        <f t="shared" si="28"/>
        <v>0</v>
      </c>
      <c r="H134" s="525">
        <f>IFERROR(VLOOKUP($B134,'3.Tasks'!$BK$4:$BO$23,2,FALSE),0)</f>
        <v>0</v>
      </c>
      <c r="I134" s="529">
        <f t="shared" si="29"/>
        <v>0</v>
      </c>
      <c r="J134" s="529">
        <f>IFERROR(VLOOKUP($B134,'3.Tasks'!$BK$4:$BO$23,3,FALSE),0)</f>
        <v>0</v>
      </c>
      <c r="K134" s="529">
        <f t="shared" si="30"/>
        <v>0</v>
      </c>
      <c r="L134" s="529">
        <f>IFERROR(VLOOKUP($B134,'3.Tasks'!$BK$4:$BO$23,4,FALSE),0)</f>
        <v>0</v>
      </c>
      <c r="M134" s="529">
        <f t="shared" si="31"/>
        <v>0</v>
      </c>
      <c r="N134" s="529">
        <f>IFERROR(VLOOKUP($B134,'3.Tasks'!$BK$4:$BO$23,5,FALSE),0)</f>
        <v>0</v>
      </c>
      <c r="O134" s="529">
        <f t="shared" si="32"/>
        <v>0</v>
      </c>
      <c r="P134" s="530">
        <f t="shared" si="33"/>
        <v>0</v>
      </c>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row>
    <row r="135" spans="1:64">
      <c r="A135" s="527" t="s">
        <v>697</v>
      </c>
      <c r="B135" s="527" t="s">
        <v>831</v>
      </c>
      <c r="C135" s="527" t="s">
        <v>31</v>
      </c>
      <c r="D135" s="527" t="s">
        <v>0</v>
      </c>
      <c r="E135" s="525" t="s">
        <v>39</v>
      </c>
      <c r="F135" s="526">
        <f>IFERROR(HLOOKUP(C135,'4.Team'!$CI$33:$DB$47,VLOOKUP(A135,$A$705:$B$714,2,FALSE),FALSE),0)</f>
        <v>0</v>
      </c>
      <c r="G135" s="526">
        <f t="shared" si="28"/>
        <v>0</v>
      </c>
      <c r="H135" s="525">
        <f>IFERROR(VLOOKUP($B135,'3.Tasks'!$BK$4:$BO$23,2,FALSE),0)</f>
        <v>0</v>
      </c>
      <c r="I135" s="529">
        <f t="shared" si="29"/>
        <v>0</v>
      </c>
      <c r="J135" s="529">
        <f>IFERROR(VLOOKUP($B135,'3.Tasks'!$BK$4:$BO$23,3,FALSE),0)</f>
        <v>0</v>
      </c>
      <c r="K135" s="529">
        <f t="shared" si="30"/>
        <v>0</v>
      </c>
      <c r="L135" s="529">
        <f>IFERROR(VLOOKUP($B135,'3.Tasks'!$BK$4:$BO$23,4,FALSE),0)</f>
        <v>0</v>
      </c>
      <c r="M135" s="529">
        <f t="shared" si="31"/>
        <v>0</v>
      </c>
      <c r="N135" s="529">
        <f>IFERROR(VLOOKUP($B135,'3.Tasks'!$BK$4:$BO$23,5,FALSE),0)</f>
        <v>0</v>
      </c>
      <c r="O135" s="529">
        <f t="shared" si="32"/>
        <v>0</v>
      </c>
      <c r="P135" s="530">
        <f t="shared" si="33"/>
        <v>0</v>
      </c>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row>
    <row r="136" spans="1:64">
      <c r="A136" s="527" t="s">
        <v>698</v>
      </c>
      <c r="B136" s="527" t="s">
        <v>831</v>
      </c>
      <c r="C136" s="527" t="s">
        <v>31</v>
      </c>
      <c r="D136" s="527" t="s">
        <v>0</v>
      </c>
      <c r="E136" s="525" t="s">
        <v>39</v>
      </c>
      <c r="F136" s="526">
        <f>IFERROR(HLOOKUP(C136,'4.Team'!$CI$33:$DB$47,VLOOKUP(A136,$A$705:$B$714,2,FALSE),FALSE),0)</f>
        <v>0</v>
      </c>
      <c r="G136" s="526">
        <f t="shared" si="28"/>
        <v>0</v>
      </c>
      <c r="H136" s="525">
        <f>IFERROR(VLOOKUP($B136,'3.Tasks'!$BK$4:$BO$23,2,FALSE),0)</f>
        <v>0</v>
      </c>
      <c r="I136" s="529">
        <f t="shared" si="29"/>
        <v>0</v>
      </c>
      <c r="J136" s="529">
        <f>IFERROR(VLOOKUP($B136,'3.Tasks'!$BK$4:$BO$23,3,FALSE),0)</f>
        <v>0</v>
      </c>
      <c r="K136" s="529">
        <f t="shared" si="30"/>
        <v>0</v>
      </c>
      <c r="L136" s="529">
        <f>IFERROR(VLOOKUP($B136,'3.Tasks'!$BK$4:$BO$23,4,FALSE),0)</f>
        <v>0</v>
      </c>
      <c r="M136" s="529">
        <f t="shared" si="31"/>
        <v>0</v>
      </c>
      <c r="N136" s="529">
        <f>IFERROR(VLOOKUP($B136,'3.Tasks'!$BK$4:$BO$23,5,FALSE),0)</f>
        <v>0</v>
      </c>
      <c r="O136" s="529">
        <f t="shared" si="32"/>
        <v>0</v>
      </c>
      <c r="P136" s="530">
        <f t="shared" si="33"/>
        <v>0</v>
      </c>
      <c r="AJ136" s="110"/>
      <c r="AK136" s="110"/>
      <c r="AL136" s="110"/>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row>
    <row r="137" spans="1:64">
      <c r="A137" s="527" t="s">
        <v>699</v>
      </c>
      <c r="B137" s="527" t="s">
        <v>831</v>
      </c>
      <c r="C137" s="527" t="s">
        <v>31</v>
      </c>
      <c r="D137" s="527" t="s">
        <v>0</v>
      </c>
      <c r="E137" s="525" t="s">
        <v>39</v>
      </c>
      <c r="F137" s="526">
        <f>IFERROR(HLOOKUP(C137,'4.Team'!$CI$33:$DB$47,VLOOKUP(A137,$A$705:$B$714,2,FALSE),FALSE),0)</f>
        <v>0</v>
      </c>
      <c r="G137" s="526">
        <f t="shared" si="28"/>
        <v>0</v>
      </c>
      <c r="H137" s="525">
        <f>IFERROR(VLOOKUP($B137,'3.Tasks'!$BK$4:$BO$23,2,FALSE),0)</f>
        <v>0</v>
      </c>
      <c r="I137" s="529">
        <f t="shared" si="29"/>
        <v>0</v>
      </c>
      <c r="J137" s="529">
        <f>IFERROR(VLOOKUP($B137,'3.Tasks'!$BK$4:$BO$23,3,FALSE),0)</f>
        <v>0</v>
      </c>
      <c r="K137" s="529">
        <f t="shared" si="30"/>
        <v>0</v>
      </c>
      <c r="L137" s="529">
        <f>IFERROR(VLOOKUP($B137,'3.Tasks'!$BK$4:$BO$23,4,FALSE),0)</f>
        <v>0</v>
      </c>
      <c r="M137" s="529">
        <f t="shared" si="31"/>
        <v>0</v>
      </c>
      <c r="N137" s="529">
        <f>IFERROR(VLOOKUP($B137,'3.Tasks'!$BK$4:$BO$23,5,FALSE),0)</f>
        <v>0</v>
      </c>
      <c r="O137" s="529">
        <f t="shared" si="32"/>
        <v>0</v>
      </c>
      <c r="P137" s="530">
        <f t="shared" si="33"/>
        <v>0</v>
      </c>
      <c r="AJ137" s="110"/>
      <c r="AK137" s="110"/>
      <c r="AL137" s="110"/>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row>
    <row r="138" spans="1:64">
      <c r="A138" s="527" t="s">
        <v>700</v>
      </c>
      <c r="B138" s="527" t="s">
        <v>831</v>
      </c>
      <c r="C138" s="527" t="s">
        <v>31</v>
      </c>
      <c r="D138" s="527" t="s">
        <v>0</v>
      </c>
      <c r="E138" s="525" t="s">
        <v>39</v>
      </c>
      <c r="F138" s="526">
        <f>IFERROR(HLOOKUP(C138,'4.Team'!$CI$33:$DB$47,VLOOKUP(A138,$A$705:$B$714,2,FALSE),FALSE),0)</f>
        <v>0</v>
      </c>
      <c r="G138" s="526">
        <f t="shared" si="28"/>
        <v>0</v>
      </c>
      <c r="H138" s="525">
        <f>IFERROR(VLOOKUP($B138,'3.Tasks'!$BK$4:$BO$23,2,FALSE),0)</f>
        <v>0</v>
      </c>
      <c r="I138" s="529">
        <f t="shared" si="29"/>
        <v>0</v>
      </c>
      <c r="J138" s="529">
        <f>IFERROR(VLOOKUP($B138,'3.Tasks'!$BK$4:$BO$23,3,FALSE),0)</f>
        <v>0</v>
      </c>
      <c r="K138" s="529">
        <f t="shared" si="30"/>
        <v>0</v>
      </c>
      <c r="L138" s="529">
        <f>IFERROR(VLOOKUP($B138,'3.Tasks'!$BK$4:$BO$23,4,FALSE),0)</f>
        <v>0</v>
      </c>
      <c r="M138" s="529">
        <f t="shared" si="31"/>
        <v>0</v>
      </c>
      <c r="N138" s="529">
        <f>IFERROR(VLOOKUP($B138,'3.Tasks'!$BK$4:$BO$23,5,FALSE),0)</f>
        <v>0</v>
      </c>
      <c r="O138" s="529">
        <f t="shared" si="32"/>
        <v>0</v>
      </c>
      <c r="P138" s="530">
        <f t="shared" si="33"/>
        <v>0</v>
      </c>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row>
    <row r="139" spans="1:64">
      <c r="A139" s="527" t="s">
        <v>701</v>
      </c>
      <c r="B139" s="527" t="s">
        <v>831</v>
      </c>
      <c r="C139" s="527" t="s">
        <v>31</v>
      </c>
      <c r="D139" s="527" t="s">
        <v>0</v>
      </c>
      <c r="E139" s="525" t="s">
        <v>39</v>
      </c>
      <c r="F139" s="526">
        <f>IFERROR(HLOOKUP(C139,'4.Team'!$CI$33:$DB$47,VLOOKUP(A139,$A$705:$B$714,2,FALSE),FALSE),0)</f>
        <v>0</v>
      </c>
      <c r="G139" s="526">
        <f t="shared" si="28"/>
        <v>0</v>
      </c>
      <c r="H139" s="525">
        <f>IFERROR(VLOOKUP($B139,'3.Tasks'!$BK$4:$BO$23,2,FALSE),0)</f>
        <v>0</v>
      </c>
      <c r="I139" s="529">
        <f t="shared" si="29"/>
        <v>0</v>
      </c>
      <c r="J139" s="529">
        <f>IFERROR(VLOOKUP($B139,'3.Tasks'!$BK$4:$BO$23,3,FALSE),0)</f>
        <v>0</v>
      </c>
      <c r="K139" s="529">
        <f t="shared" si="30"/>
        <v>0</v>
      </c>
      <c r="L139" s="529">
        <f>IFERROR(VLOOKUP($B139,'3.Tasks'!$BK$4:$BO$23,4,FALSE),0)</f>
        <v>0</v>
      </c>
      <c r="M139" s="529">
        <f t="shared" si="31"/>
        <v>0</v>
      </c>
      <c r="N139" s="529">
        <f>IFERROR(VLOOKUP($B139,'3.Tasks'!$BK$4:$BO$23,5,FALSE),0)</f>
        <v>0</v>
      </c>
      <c r="O139" s="529">
        <f t="shared" si="32"/>
        <v>0</v>
      </c>
      <c r="P139" s="530">
        <f t="shared" si="33"/>
        <v>0</v>
      </c>
      <c r="AJ139" s="110"/>
      <c r="AK139" s="110"/>
      <c r="AL139" s="110"/>
      <c r="AM139" s="110"/>
      <c r="AN139" s="110"/>
      <c r="AO139" s="110"/>
      <c r="AP139" s="110"/>
      <c r="AQ139" s="110"/>
      <c r="AR139" s="110"/>
      <c r="AS139" s="110"/>
      <c r="AT139" s="110"/>
      <c r="AU139" s="110"/>
      <c r="AV139" s="110"/>
      <c r="AW139" s="110"/>
      <c r="AX139" s="110"/>
      <c r="AY139" s="110"/>
      <c r="AZ139" s="110"/>
      <c r="BA139" s="110"/>
      <c r="BB139" s="110"/>
      <c r="BC139" s="110"/>
      <c r="BD139" s="110"/>
      <c r="BE139" s="110"/>
      <c r="BF139" s="110"/>
      <c r="BG139" s="110"/>
      <c r="BH139" s="110"/>
      <c r="BI139" s="110"/>
      <c r="BJ139" s="110"/>
      <c r="BK139" s="110"/>
      <c r="BL139" s="110"/>
    </row>
    <row r="140" spans="1:64">
      <c r="A140" s="527" t="s">
        <v>702</v>
      </c>
      <c r="B140" s="527" t="s">
        <v>831</v>
      </c>
      <c r="C140" s="527" t="s">
        <v>31</v>
      </c>
      <c r="D140" s="527" t="s">
        <v>0</v>
      </c>
      <c r="E140" s="525" t="s">
        <v>39</v>
      </c>
      <c r="F140" s="526">
        <f>IFERROR(HLOOKUP(C140,'4.Team'!$CI$33:$DB$47,VLOOKUP(A140,$A$705:$B$714,2,FALSE),FALSE),0)</f>
        <v>0</v>
      </c>
      <c r="G140" s="526">
        <f t="shared" si="28"/>
        <v>0</v>
      </c>
      <c r="H140" s="525">
        <f>IFERROR(VLOOKUP($B140,'3.Tasks'!$BK$4:$BO$23,2,FALSE),0)</f>
        <v>0</v>
      </c>
      <c r="I140" s="529">
        <f t="shared" si="29"/>
        <v>0</v>
      </c>
      <c r="J140" s="529">
        <f>IFERROR(VLOOKUP($B140,'3.Tasks'!$BK$4:$BO$23,3,FALSE),0)</f>
        <v>0</v>
      </c>
      <c r="K140" s="529">
        <f t="shared" si="30"/>
        <v>0</v>
      </c>
      <c r="L140" s="529">
        <f>IFERROR(VLOOKUP($B140,'3.Tasks'!$BK$4:$BO$23,4,FALSE),0)</f>
        <v>0</v>
      </c>
      <c r="M140" s="529">
        <f t="shared" si="31"/>
        <v>0</v>
      </c>
      <c r="N140" s="529">
        <f>IFERROR(VLOOKUP($B140,'3.Tasks'!$BK$4:$BO$23,5,FALSE),0)</f>
        <v>0</v>
      </c>
      <c r="O140" s="529">
        <f t="shared" si="32"/>
        <v>0</v>
      </c>
      <c r="P140" s="530">
        <f t="shared" si="33"/>
        <v>0</v>
      </c>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row>
    <row r="141" spans="1:64">
      <c r="A141" s="527" t="s">
        <v>703</v>
      </c>
      <c r="B141" s="527" t="s">
        <v>831</v>
      </c>
      <c r="C141" s="527" t="s">
        <v>31</v>
      </c>
      <c r="D141" s="527" t="s">
        <v>0</v>
      </c>
      <c r="E141" s="525" t="s">
        <v>39</v>
      </c>
      <c r="F141" s="526">
        <f>IFERROR(HLOOKUP(C141,'4.Team'!$CI$33:$DB$47,VLOOKUP(A141,$A$705:$B$714,2,FALSE),FALSE),0)</f>
        <v>0</v>
      </c>
      <c r="G141" s="526">
        <f t="shared" si="28"/>
        <v>0</v>
      </c>
      <c r="H141" s="525">
        <f>IFERROR(VLOOKUP($B141,'3.Tasks'!$BK$4:$BO$23,2,FALSE),0)</f>
        <v>0</v>
      </c>
      <c r="I141" s="529">
        <f t="shared" si="29"/>
        <v>0</v>
      </c>
      <c r="J141" s="529">
        <f>IFERROR(VLOOKUP($B141,'3.Tasks'!$BK$4:$BO$23,3,FALSE),0)</f>
        <v>0</v>
      </c>
      <c r="K141" s="529">
        <f t="shared" si="30"/>
        <v>0</v>
      </c>
      <c r="L141" s="529">
        <f>IFERROR(VLOOKUP($B141,'3.Tasks'!$BK$4:$BO$23,4,FALSE),0)</f>
        <v>0</v>
      </c>
      <c r="M141" s="529">
        <f t="shared" si="31"/>
        <v>0</v>
      </c>
      <c r="N141" s="529">
        <f>IFERROR(VLOOKUP($B141,'3.Tasks'!$BK$4:$BO$23,5,FALSE),0)</f>
        <v>0</v>
      </c>
      <c r="O141" s="529">
        <f t="shared" si="32"/>
        <v>0</v>
      </c>
      <c r="P141" s="530">
        <f t="shared" si="33"/>
        <v>0</v>
      </c>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row>
    <row r="142" spans="1:64">
      <c r="A142" s="527" t="s">
        <v>694</v>
      </c>
      <c r="B142" s="527" t="s">
        <v>832</v>
      </c>
      <c r="C142" s="527" t="s">
        <v>32</v>
      </c>
      <c r="D142" s="527" t="s">
        <v>0</v>
      </c>
      <c r="E142" s="525" t="s">
        <v>39</v>
      </c>
      <c r="F142" s="526">
        <f>IFERROR(HLOOKUP(C142,'4.Team'!$CI$33:$DB$47,VLOOKUP(A142,$A$705:$B$714,2,FALSE),FALSE),0)</f>
        <v>0</v>
      </c>
      <c r="G142" s="526">
        <f t="shared" si="28"/>
        <v>0</v>
      </c>
      <c r="H142" s="525">
        <f>IFERROR(VLOOKUP($B142,'3.Tasks'!$BK$4:$BO$23,2,FALSE),0)</f>
        <v>0</v>
      </c>
      <c r="I142" s="529">
        <f t="shared" si="29"/>
        <v>0</v>
      </c>
      <c r="J142" s="529">
        <f>IFERROR(VLOOKUP($B142,'3.Tasks'!$BK$4:$BO$23,3,FALSE),0)</f>
        <v>0</v>
      </c>
      <c r="K142" s="529">
        <f t="shared" si="30"/>
        <v>0</v>
      </c>
      <c r="L142" s="529">
        <f>IFERROR(VLOOKUP($B142,'3.Tasks'!$BK$4:$BO$23,4,FALSE),0)</f>
        <v>0</v>
      </c>
      <c r="M142" s="529">
        <f t="shared" si="31"/>
        <v>0</v>
      </c>
      <c r="N142" s="529">
        <f>IFERROR(VLOOKUP($B142,'3.Tasks'!$BK$4:$BO$23,5,FALSE),0)</f>
        <v>0</v>
      </c>
      <c r="O142" s="529">
        <f t="shared" si="32"/>
        <v>0</v>
      </c>
      <c r="P142" s="530">
        <f t="shared" si="33"/>
        <v>0</v>
      </c>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row>
    <row r="143" spans="1:64">
      <c r="A143" s="527" t="s">
        <v>695</v>
      </c>
      <c r="B143" s="527" t="s">
        <v>832</v>
      </c>
      <c r="C143" s="527" t="s">
        <v>32</v>
      </c>
      <c r="D143" s="527" t="s">
        <v>0</v>
      </c>
      <c r="E143" s="525" t="s">
        <v>39</v>
      </c>
      <c r="F143" s="526">
        <f>IFERROR(HLOOKUP(C143,'4.Team'!$CI$33:$DB$47,VLOOKUP(A143,$A$705:$B$714,2,FALSE),FALSE),0)</f>
        <v>0</v>
      </c>
      <c r="G143" s="526">
        <f t="shared" si="28"/>
        <v>0</v>
      </c>
      <c r="H143" s="525">
        <f>IFERROR(VLOOKUP($B143,'3.Tasks'!$BK$4:$BO$23,2,FALSE),0)</f>
        <v>0</v>
      </c>
      <c r="I143" s="529">
        <f t="shared" si="29"/>
        <v>0</v>
      </c>
      <c r="J143" s="529">
        <f>IFERROR(VLOOKUP($B143,'3.Tasks'!$BK$4:$BO$23,3,FALSE),0)</f>
        <v>0</v>
      </c>
      <c r="K143" s="529">
        <f t="shared" si="30"/>
        <v>0</v>
      </c>
      <c r="L143" s="529">
        <f>IFERROR(VLOOKUP($B143,'3.Tasks'!$BK$4:$BO$23,4,FALSE),0)</f>
        <v>0</v>
      </c>
      <c r="M143" s="529">
        <f t="shared" si="31"/>
        <v>0</v>
      </c>
      <c r="N143" s="529">
        <f>IFERROR(VLOOKUP($B143,'3.Tasks'!$BK$4:$BO$23,5,FALSE),0)</f>
        <v>0</v>
      </c>
      <c r="O143" s="529">
        <f t="shared" si="32"/>
        <v>0</v>
      </c>
      <c r="P143" s="530">
        <f t="shared" si="33"/>
        <v>0</v>
      </c>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row>
    <row r="144" spans="1:64">
      <c r="A144" s="527" t="s">
        <v>696</v>
      </c>
      <c r="B144" s="527" t="s">
        <v>832</v>
      </c>
      <c r="C144" s="527" t="s">
        <v>32</v>
      </c>
      <c r="D144" s="527" t="s">
        <v>0</v>
      </c>
      <c r="E144" s="525" t="s">
        <v>39</v>
      </c>
      <c r="F144" s="526">
        <f>IFERROR(HLOOKUP(C144,'4.Team'!$CI$33:$DB$47,VLOOKUP(A144,$A$705:$B$714,2,FALSE),FALSE),0)</f>
        <v>0</v>
      </c>
      <c r="G144" s="526">
        <f t="shared" si="28"/>
        <v>0</v>
      </c>
      <c r="H144" s="525">
        <f>IFERROR(VLOOKUP($B144,'3.Tasks'!$BK$4:$BO$23,2,FALSE),0)</f>
        <v>0</v>
      </c>
      <c r="I144" s="529">
        <f t="shared" si="29"/>
        <v>0</v>
      </c>
      <c r="J144" s="529">
        <f>IFERROR(VLOOKUP($B144,'3.Tasks'!$BK$4:$BO$23,3,FALSE),0)</f>
        <v>0</v>
      </c>
      <c r="K144" s="529">
        <f t="shared" si="30"/>
        <v>0</v>
      </c>
      <c r="L144" s="529">
        <f>IFERROR(VLOOKUP($B144,'3.Tasks'!$BK$4:$BO$23,4,FALSE),0)</f>
        <v>0</v>
      </c>
      <c r="M144" s="529">
        <f t="shared" si="31"/>
        <v>0</v>
      </c>
      <c r="N144" s="529">
        <f>IFERROR(VLOOKUP($B144,'3.Tasks'!$BK$4:$BO$23,5,FALSE),0)</f>
        <v>0</v>
      </c>
      <c r="O144" s="529">
        <f t="shared" si="32"/>
        <v>0</v>
      </c>
      <c r="P144" s="530">
        <f t="shared" si="33"/>
        <v>0</v>
      </c>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row>
    <row r="145" spans="1:64">
      <c r="A145" s="527" t="s">
        <v>697</v>
      </c>
      <c r="B145" s="527" t="s">
        <v>832</v>
      </c>
      <c r="C145" s="527" t="s">
        <v>32</v>
      </c>
      <c r="D145" s="527" t="s">
        <v>0</v>
      </c>
      <c r="E145" s="525" t="s">
        <v>39</v>
      </c>
      <c r="F145" s="526">
        <f>IFERROR(HLOOKUP(C145,'4.Team'!$CI$33:$DB$47,VLOOKUP(A145,$A$705:$B$714,2,FALSE),FALSE),0)</f>
        <v>0</v>
      </c>
      <c r="G145" s="526">
        <f t="shared" si="28"/>
        <v>0</v>
      </c>
      <c r="H145" s="525">
        <f>IFERROR(VLOOKUP($B145,'3.Tasks'!$BK$4:$BO$23,2,FALSE),0)</f>
        <v>0</v>
      </c>
      <c r="I145" s="529">
        <f t="shared" si="29"/>
        <v>0</v>
      </c>
      <c r="J145" s="529">
        <f>IFERROR(VLOOKUP($B145,'3.Tasks'!$BK$4:$BO$23,3,FALSE),0)</f>
        <v>0</v>
      </c>
      <c r="K145" s="529">
        <f t="shared" si="30"/>
        <v>0</v>
      </c>
      <c r="L145" s="529">
        <f>IFERROR(VLOOKUP($B145,'3.Tasks'!$BK$4:$BO$23,4,FALSE),0)</f>
        <v>0</v>
      </c>
      <c r="M145" s="529">
        <f t="shared" si="31"/>
        <v>0</v>
      </c>
      <c r="N145" s="529">
        <f>IFERROR(VLOOKUP($B145,'3.Tasks'!$BK$4:$BO$23,5,FALSE),0)</f>
        <v>0</v>
      </c>
      <c r="O145" s="529">
        <f t="shared" si="32"/>
        <v>0</v>
      </c>
      <c r="P145" s="530">
        <f t="shared" si="33"/>
        <v>0</v>
      </c>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row>
    <row r="146" spans="1:64">
      <c r="A146" s="527" t="s">
        <v>698</v>
      </c>
      <c r="B146" s="527" t="s">
        <v>832</v>
      </c>
      <c r="C146" s="527" t="s">
        <v>32</v>
      </c>
      <c r="D146" s="527" t="s">
        <v>0</v>
      </c>
      <c r="E146" s="525" t="s">
        <v>39</v>
      </c>
      <c r="F146" s="526">
        <f>IFERROR(HLOOKUP(C146,'4.Team'!$CI$33:$DB$47,VLOOKUP(A146,$A$705:$B$714,2,FALSE),FALSE),0)</f>
        <v>0</v>
      </c>
      <c r="G146" s="526">
        <f t="shared" si="28"/>
        <v>0</v>
      </c>
      <c r="H146" s="525">
        <f>IFERROR(VLOOKUP($B146,'3.Tasks'!$BK$4:$BO$23,2,FALSE),0)</f>
        <v>0</v>
      </c>
      <c r="I146" s="529">
        <f t="shared" si="29"/>
        <v>0</v>
      </c>
      <c r="J146" s="529">
        <f>IFERROR(VLOOKUP($B146,'3.Tasks'!$BK$4:$BO$23,3,FALSE),0)</f>
        <v>0</v>
      </c>
      <c r="K146" s="529">
        <f t="shared" si="30"/>
        <v>0</v>
      </c>
      <c r="L146" s="529">
        <f>IFERROR(VLOOKUP($B146,'3.Tasks'!$BK$4:$BO$23,4,FALSE),0)</f>
        <v>0</v>
      </c>
      <c r="M146" s="529">
        <f t="shared" si="31"/>
        <v>0</v>
      </c>
      <c r="N146" s="529">
        <f>IFERROR(VLOOKUP($B146,'3.Tasks'!$BK$4:$BO$23,5,FALSE),0)</f>
        <v>0</v>
      </c>
      <c r="O146" s="529">
        <f t="shared" si="32"/>
        <v>0</v>
      </c>
      <c r="P146" s="530">
        <f t="shared" si="33"/>
        <v>0</v>
      </c>
      <c r="AJ146" s="110"/>
      <c r="AK146" s="110"/>
      <c r="AL146" s="110"/>
      <c r="AM146" s="110"/>
      <c r="AN146" s="110"/>
      <c r="AO146" s="110"/>
      <c r="AP146" s="110"/>
      <c r="AQ146" s="110"/>
      <c r="AR146" s="110"/>
      <c r="AS146" s="110"/>
      <c r="AT146" s="110"/>
      <c r="AU146" s="110"/>
      <c r="AV146" s="110"/>
      <c r="AW146" s="110"/>
      <c r="AX146" s="110"/>
      <c r="AY146" s="110"/>
      <c r="AZ146" s="110"/>
      <c r="BA146" s="110"/>
      <c r="BB146" s="110"/>
      <c r="BC146" s="110"/>
      <c r="BD146" s="110"/>
      <c r="BE146" s="110"/>
      <c r="BF146" s="110"/>
      <c r="BG146" s="110"/>
      <c r="BH146" s="110"/>
      <c r="BI146" s="110"/>
      <c r="BJ146" s="110"/>
      <c r="BK146" s="110"/>
      <c r="BL146" s="110"/>
    </row>
    <row r="147" spans="1:64">
      <c r="A147" s="527" t="s">
        <v>699</v>
      </c>
      <c r="B147" s="527" t="s">
        <v>832</v>
      </c>
      <c r="C147" s="527" t="s">
        <v>32</v>
      </c>
      <c r="D147" s="527" t="s">
        <v>0</v>
      </c>
      <c r="E147" s="525" t="s">
        <v>39</v>
      </c>
      <c r="F147" s="526">
        <f>IFERROR(HLOOKUP(C147,'4.Team'!$CI$33:$DB$47,VLOOKUP(A147,$A$705:$B$714,2,FALSE),FALSE),0)</f>
        <v>0</v>
      </c>
      <c r="G147" s="526">
        <f t="shared" si="28"/>
        <v>0</v>
      </c>
      <c r="H147" s="525">
        <f>IFERROR(VLOOKUP($B147,'3.Tasks'!$BK$4:$BO$23,2,FALSE),0)</f>
        <v>0</v>
      </c>
      <c r="I147" s="529">
        <f t="shared" si="29"/>
        <v>0</v>
      </c>
      <c r="J147" s="529">
        <f>IFERROR(VLOOKUP($B147,'3.Tasks'!$BK$4:$BO$23,3,FALSE),0)</f>
        <v>0</v>
      </c>
      <c r="K147" s="529">
        <f t="shared" si="30"/>
        <v>0</v>
      </c>
      <c r="L147" s="529">
        <f>IFERROR(VLOOKUP($B147,'3.Tasks'!$BK$4:$BO$23,4,FALSE),0)</f>
        <v>0</v>
      </c>
      <c r="M147" s="529">
        <f t="shared" si="31"/>
        <v>0</v>
      </c>
      <c r="N147" s="529">
        <f>IFERROR(VLOOKUP($B147,'3.Tasks'!$BK$4:$BO$23,5,FALSE),0)</f>
        <v>0</v>
      </c>
      <c r="O147" s="529">
        <f t="shared" si="32"/>
        <v>0</v>
      </c>
      <c r="P147" s="530">
        <f t="shared" si="33"/>
        <v>0</v>
      </c>
      <c r="AJ147" s="110"/>
      <c r="AK147" s="110"/>
      <c r="AL147" s="110"/>
      <c r="AM147" s="110"/>
      <c r="AN147" s="110"/>
      <c r="AO147" s="110"/>
      <c r="AP147" s="110"/>
      <c r="AQ147" s="110"/>
      <c r="AR147" s="110"/>
      <c r="AS147" s="110"/>
      <c r="AT147" s="110"/>
      <c r="AU147" s="110"/>
      <c r="AV147" s="110"/>
      <c r="AW147" s="110"/>
      <c r="AX147" s="110"/>
      <c r="AY147" s="110"/>
      <c r="AZ147" s="110"/>
      <c r="BA147" s="110"/>
      <c r="BB147" s="110"/>
      <c r="BC147" s="110"/>
      <c r="BD147" s="110"/>
      <c r="BE147" s="110"/>
      <c r="BF147" s="110"/>
      <c r="BG147" s="110"/>
      <c r="BH147" s="110"/>
      <c r="BI147" s="110"/>
      <c r="BJ147" s="110"/>
      <c r="BK147" s="110"/>
      <c r="BL147" s="110"/>
    </row>
    <row r="148" spans="1:64">
      <c r="A148" s="527" t="s">
        <v>700</v>
      </c>
      <c r="B148" s="527" t="s">
        <v>832</v>
      </c>
      <c r="C148" s="527" t="s">
        <v>32</v>
      </c>
      <c r="D148" s="527" t="s">
        <v>0</v>
      </c>
      <c r="E148" s="525" t="s">
        <v>39</v>
      </c>
      <c r="F148" s="526">
        <f>IFERROR(HLOOKUP(C148,'4.Team'!$CI$33:$DB$47,VLOOKUP(A148,$A$705:$B$714,2,FALSE),FALSE),0)</f>
        <v>0</v>
      </c>
      <c r="G148" s="526">
        <f t="shared" si="28"/>
        <v>0</v>
      </c>
      <c r="H148" s="525">
        <f>IFERROR(VLOOKUP($B148,'3.Tasks'!$BK$4:$BO$23,2,FALSE),0)</f>
        <v>0</v>
      </c>
      <c r="I148" s="529">
        <f t="shared" si="29"/>
        <v>0</v>
      </c>
      <c r="J148" s="529">
        <f>IFERROR(VLOOKUP($B148,'3.Tasks'!$BK$4:$BO$23,3,FALSE),0)</f>
        <v>0</v>
      </c>
      <c r="K148" s="529">
        <f t="shared" si="30"/>
        <v>0</v>
      </c>
      <c r="L148" s="529">
        <f>IFERROR(VLOOKUP($B148,'3.Tasks'!$BK$4:$BO$23,4,FALSE),0)</f>
        <v>0</v>
      </c>
      <c r="M148" s="529">
        <f t="shared" si="31"/>
        <v>0</v>
      </c>
      <c r="N148" s="529">
        <f>IFERROR(VLOOKUP($B148,'3.Tasks'!$BK$4:$BO$23,5,FALSE),0)</f>
        <v>0</v>
      </c>
      <c r="O148" s="529">
        <f t="shared" si="32"/>
        <v>0</v>
      </c>
      <c r="P148" s="530">
        <f t="shared" si="33"/>
        <v>0</v>
      </c>
      <c r="AJ148" s="110"/>
      <c r="AK148" s="110"/>
      <c r="AL148" s="110"/>
      <c r="AM148" s="110"/>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row>
    <row r="149" spans="1:64">
      <c r="A149" s="527" t="s">
        <v>701</v>
      </c>
      <c r="B149" s="527" t="s">
        <v>832</v>
      </c>
      <c r="C149" s="527" t="s">
        <v>32</v>
      </c>
      <c r="D149" s="527" t="s">
        <v>0</v>
      </c>
      <c r="E149" s="525" t="s">
        <v>39</v>
      </c>
      <c r="F149" s="526">
        <f>IFERROR(HLOOKUP(C149,'4.Team'!$CI$33:$DB$47,VLOOKUP(A149,$A$705:$B$714,2,FALSE),FALSE),0)</f>
        <v>0</v>
      </c>
      <c r="G149" s="526">
        <f t="shared" si="28"/>
        <v>0</v>
      </c>
      <c r="H149" s="525">
        <f>IFERROR(VLOOKUP($B149,'3.Tasks'!$BK$4:$BO$23,2,FALSE),0)</f>
        <v>0</v>
      </c>
      <c r="I149" s="529">
        <f t="shared" si="29"/>
        <v>0</v>
      </c>
      <c r="J149" s="529">
        <f>IFERROR(VLOOKUP($B149,'3.Tasks'!$BK$4:$BO$23,3,FALSE),0)</f>
        <v>0</v>
      </c>
      <c r="K149" s="529">
        <f t="shared" si="30"/>
        <v>0</v>
      </c>
      <c r="L149" s="529">
        <f>IFERROR(VLOOKUP($B149,'3.Tasks'!$BK$4:$BO$23,4,FALSE),0)</f>
        <v>0</v>
      </c>
      <c r="M149" s="529">
        <f t="shared" si="31"/>
        <v>0</v>
      </c>
      <c r="N149" s="529">
        <f>IFERROR(VLOOKUP($B149,'3.Tasks'!$BK$4:$BO$23,5,FALSE),0)</f>
        <v>0</v>
      </c>
      <c r="O149" s="529">
        <f t="shared" si="32"/>
        <v>0</v>
      </c>
      <c r="P149" s="530">
        <f t="shared" si="33"/>
        <v>0</v>
      </c>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row>
    <row r="150" spans="1:64">
      <c r="A150" s="527" t="s">
        <v>702</v>
      </c>
      <c r="B150" s="527" t="s">
        <v>832</v>
      </c>
      <c r="C150" s="527" t="s">
        <v>32</v>
      </c>
      <c r="D150" s="527" t="s">
        <v>0</v>
      </c>
      <c r="E150" s="525" t="s">
        <v>39</v>
      </c>
      <c r="F150" s="526">
        <f>IFERROR(HLOOKUP(C150,'4.Team'!$CI$33:$DB$47,VLOOKUP(A150,$A$705:$B$714,2,FALSE),FALSE),0)</f>
        <v>0</v>
      </c>
      <c r="G150" s="526">
        <f t="shared" si="28"/>
        <v>0</v>
      </c>
      <c r="H150" s="525">
        <f>IFERROR(VLOOKUP($B150,'3.Tasks'!$BK$4:$BO$23,2,FALSE),0)</f>
        <v>0</v>
      </c>
      <c r="I150" s="529">
        <f t="shared" si="29"/>
        <v>0</v>
      </c>
      <c r="J150" s="529">
        <f>IFERROR(VLOOKUP($B150,'3.Tasks'!$BK$4:$BO$23,3,FALSE),0)</f>
        <v>0</v>
      </c>
      <c r="K150" s="529">
        <f t="shared" si="30"/>
        <v>0</v>
      </c>
      <c r="L150" s="529">
        <f>IFERROR(VLOOKUP($B150,'3.Tasks'!$BK$4:$BO$23,4,FALSE),0)</f>
        <v>0</v>
      </c>
      <c r="M150" s="529">
        <f t="shared" si="31"/>
        <v>0</v>
      </c>
      <c r="N150" s="529">
        <f>IFERROR(VLOOKUP($B150,'3.Tasks'!$BK$4:$BO$23,5,FALSE),0)</f>
        <v>0</v>
      </c>
      <c r="O150" s="529">
        <f t="shared" si="32"/>
        <v>0</v>
      </c>
      <c r="P150" s="530">
        <f t="shared" si="33"/>
        <v>0</v>
      </c>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row>
    <row r="151" spans="1:64">
      <c r="A151" s="527" t="s">
        <v>703</v>
      </c>
      <c r="B151" s="527" t="s">
        <v>832</v>
      </c>
      <c r="C151" s="527" t="s">
        <v>32</v>
      </c>
      <c r="D151" s="527" t="s">
        <v>0</v>
      </c>
      <c r="E151" s="525" t="s">
        <v>39</v>
      </c>
      <c r="F151" s="526">
        <f>IFERROR(HLOOKUP(C151,'4.Team'!$CI$33:$DB$47,VLOOKUP(A151,$A$705:$B$714,2,FALSE),FALSE),0)</f>
        <v>0</v>
      </c>
      <c r="G151" s="526">
        <f t="shared" si="28"/>
        <v>0</v>
      </c>
      <c r="H151" s="525">
        <f>IFERROR(VLOOKUP($B151,'3.Tasks'!$BK$4:$BO$23,2,FALSE),0)</f>
        <v>0</v>
      </c>
      <c r="I151" s="529">
        <f t="shared" si="29"/>
        <v>0</v>
      </c>
      <c r="J151" s="529">
        <f>IFERROR(VLOOKUP($B151,'3.Tasks'!$BK$4:$BO$23,3,FALSE),0)</f>
        <v>0</v>
      </c>
      <c r="K151" s="529">
        <f t="shared" si="30"/>
        <v>0</v>
      </c>
      <c r="L151" s="529">
        <f>IFERROR(VLOOKUP($B151,'3.Tasks'!$BK$4:$BO$23,4,FALSE),0)</f>
        <v>0</v>
      </c>
      <c r="M151" s="529">
        <f t="shared" si="31"/>
        <v>0</v>
      </c>
      <c r="N151" s="529">
        <f>IFERROR(VLOOKUP($B151,'3.Tasks'!$BK$4:$BO$23,5,FALSE),0)</f>
        <v>0</v>
      </c>
      <c r="O151" s="529">
        <f t="shared" si="32"/>
        <v>0</v>
      </c>
      <c r="P151" s="530">
        <f t="shared" si="33"/>
        <v>0</v>
      </c>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row>
    <row r="152" spans="1:64">
      <c r="A152" s="527" t="s">
        <v>694</v>
      </c>
      <c r="B152" s="527" t="s">
        <v>833</v>
      </c>
      <c r="C152" s="527" t="s">
        <v>33</v>
      </c>
      <c r="D152" s="527" t="s">
        <v>0</v>
      </c>
      <c r="E152" s="525" t="s">
        <v>39</v>
      </c>
      <c r="F152" s="526">
        <f>IFERROR(HLOOKUP(C152,'4.Team'!$CI$33:$DB$47,VLOOKUP(A152,$A$705:$B$714,2,FALSE),FALSE),0)</f>
        <v>0</v>
      </c>
      <c r="G152" s="526">
        <f t="shared" si="28"/>
        <v>0</v>
      </c>
      <c r="H152" s="525">
        <f>IFERROR(VLOOKUP($B152,'3.Tasks'!$BK$4:$BO$23,2,FALSE),0)</f>
        <v>0</v>
      </c>
      <c r="I152" s="529">
        <f t="shared" si="29"/>
        <v>0</v>
      </c>
      <c r="J152" s="529">
        <f>IFERROR(VLOOKUP($B152,'3.Tasks'!$BK$4:$BO$23,3,FALSE),0)</f>
        <v>0</v>
      </c>
      <c r="K152" s="529">
        <f t="shared" si="30"/>
        <v>0</v>
      </c>
      <c r="L152" s="529">
        <f>IFERROR(VLOOKUP($B152,'3.Tasks'!$BK$4:$BO$23,4,FALSE),0)</f>
        <v>0</v>
      </c>
      <c r="M152" s="529">
        <f t="shared" si="31"/>
        <v>0</v>
      </c>
      <c r="N152" s="529">
        <f>IFERROR(VLOOKUP($B152,'3.Tasks'!$BK$4:$BO$23,5,FALSE),0)</f>
        <v>0</v>
      </c>
      <c r="O152" s="529">
        <f t="shared" si="32"/>
        <v>0</v>
      </c>
      <c r="P152" s="530">
        <f t="shared" si="33"/>
        <v>0</v>
      </c>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row>
    <row r="153" spans="1:64">
      <c r="A153" s="527" t="s">
        <v>695</v>
      </c>
      <c r="B153" s="527" t="s">
        <v>833</v>
      </c>
      <c r="C153" s="527" t="s">
        <v>33</v>
      </c>
      <c r="D153" s="527" t="s">
        <v>0</v>
      </c>
      <c r="E153" s="525" t="s">
        <v>39</v>
      </c>
      <c r="F153" s="526">
        <f>IFERROR(HLOOKUP(C153,'4.Team'!$CI$33:$DB$47,VLOOKUP(A153,$A$705:$B$714,2,FALSE),FALSE),0)</f>
        <v>0</v>
      </c>
      <c r="G153" s="526">
        <f t="shared" si="28"/>
        <v>0</v>
      </c>
      <c r="H153" s="525">
        <f>IFERROR(VLOOKUP($B153,'3.Tasks'!$BK$4:$BO$23,2,FALSE),0)</f>
        <v>0</v>
      </c>
      <c r="I153" s="529">
        <f t="shared" si="29"/>
        <v>0</v>
      </c>
      <c r="J153" s="529">
        <f>IFERROR(VLOOKUP($B153,'3.Tasks'!$BK$4:$BO$23,3,FALSE),0)</f>
        <v>0</v>
      </c>
      <c r="K153" s="529">
        <f t="shared" si="30"/>
        <v>0</v>
      </c>
      <c r="L153" s="529">
        <f>IFERROR(VLOOKUP($B153,'3.Tasks'!$BK$4:$BO$23,4,FALSE),0)</f>
        <v>0</v>
      </c>
      <c r="M153" s="529">
        <f t="shared" si="31"/>
        <v>0</v>
      </c>
      <c r="N153" s="529">
        <f>IFERROR(VLOOKUP($B153,'3.Tasks'!$BK$4:$BO$23,5,FALSE),0)</f>
        <v>0</v>
      </c>
      <c r="O153" s="529">
        <f t="shared" si="32"/>
        <v>0</v>
      </c>
      <c r="P153" s="530">
        <f t="shared" si="33"/>
        <v>0</v>
      </c>
      <c r="AJ153" s="110"/>
      <c r="AK153" s="110"/>
      <c r="AL153" s="110"/>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row>
    <row r="154" spans="1:64">
      <c r="A154" s="527" t="s">
        <v>696</v>
      </c>
      <c r="B154" s="527" t="s">
        <v>833</v>
      </c>
      <c r="C154" s="527" t="s">
        <v>33</v>
      </c>
      <c r="D154" s="527" t="s">
        <v>0</v>
      </c>
      <c r="E154" s="525" t="s">
        <v>39</v>
      </c>
      <c r="F154" s="526">
        <f>IFERROR(HLOOKUP(C154,'4.Team'!$CI$33:$DB$47,VLOOKUP(A154,$A$705:$B$714,2,FALSE),FALSE),0)</f>
        <v>0</v>
      </c>
      <c r="G154" s="526">
        <f t="shared" si="28"/>
        <v>0</v>
      </c>
      <c r="H154" s="525">
        <f>IFERROR(VLOOKUP($B154,'3.Tasks'!$BK$4:$BO$23,2,FALSE),0)</f>
        <v>0</v>
      </c>
      <c r="I154" s="529">
        <f t="shared" si="29"/>
        <v>0</v>
      </c>
      <c r="J154" s="529">
        <f>IFERROR(VLOOKUP($B154,'3.Tasks'!$BK$4:$BO$23,3,FALSE),0)</f>
        <v>0</v>
      </c>
      <c r="K154" s="529">
        <f t="shared" si="30"/>
        <v>0</v>
      </c>
      <c r="L154" s="529">
        <f>IFERROR(VLOOKUP($B154,'3.Tasks'!$BK$4:$BO$23,4,FALSE),0)</f>
        <v>0</v>
      </c>
      <c r="M154" s="529">
        <f t="shared" si="31"/>
        <v>0</v>
      </c>
      <c r="N154" s="529">
        <f>IFERROR(VLOOKUP($B154,'3.Tasks'!$BK$4:$BO$23,5,FALSE),0)</f>
        <v>0</v>
      </c>
      <c r="O154" s="529">
        <f t="shared" si="32"/>
        <v>0</v>
      </c>
      <c r="P154" s="530">
        <f t="shared" si="33"/>
        <v>0</v>
      </c>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row>
    <row r="155" spans="1:64">
      <c r="A155" s="527" t="s">
        <v>697</v>
      </c>
      <c r="B155" s="527" t="s">
        <v>833</v>
      </c>
      <c r="C155" s="527" t="s">
        <v>33</v>
      </c>
      <c r="D155" s="527" t="s">
        <v>0</v>
      </c>
      <c r="E155" s="525" t="s">
        <v>39</v>
      </c>
      <c r="F155" s="526">
        <f>IFERROR(HLOOKUP(C155,'4.Team'!$CI$33:$DB$47,VLOOKUP(A155,$A$705:$B$714,2,FALSE),FALSE),0)</f>
        <v>0</v>
      </c>
      <c r="G155" s="526">
        <f t="shared" si="28"/>
        <v>0</v>
      </c>
      <c r="H155" s="525">
        <f>IFERROR(VLOOKUP($B155,'3.Tasks'!$BK$4:$BO$23,2,FALSE),0)</f>
        <v>0</v>
      </c>
      <c r="I155" s="529">
        <f t="shared" si="29"/>
        <v>0</v>
      </c>
      <c r="J155" s="529">
        <f>IFERROR(VLOOKUP($B155,'3.Tasks'!$BK$4:$BO$23,3,FALSE),0)</f>
        <v>0</v>
      </c>
      <c r="K155" s="529">
        <f t="shared" si="30"/>
        <v>0</v>
      </c>
      <c r="L155" s="529">
        <f>IFERROR(VLOOKUP($B155,'3.Tasks'!$BK$4:$BO$23,4,FALSE),0)</f>
        <v>0</v>
      </c>
      <c r="M155" s="529">
        <f t="shared" si="31"/>
        <v>0</v>
      </c>
      <c r="N155" s="529">
        <f>IFERROR(VLOOKUP($B155,'3.Tasks'!$BK$4:$BO$23,5,FALSE),0)</f>
        <v>0</v>
      </c>
      <c r="O155" s="529">
        <f t="shared" si="32"/>
        <v>0</v>
      </c>
      <c r="P155" s="530">
        <f t="shared" si="33"/>
        <v>0</v>
      </c>
      <c r="AJ155" s="110"/>
      <c r="AK155" s="110"/>
      <c r="AL155" s="110"/>
      <c r="AM155" s="110"/>
      <c r="AN155" s="110"/>
      <c r="AO155" s="110"/>
      <c r="AP155" s="110"/>
      <c r="AQ155" s="110"/>
      <c r="AR155" s="110"/>
      <c r="AS155" s="110"/>
      <c r="AT155" s="110"/>
      <c r="AU155" s="110"/>
      <c r="AV155" s="110"/>
      <c r="AW155" s="110"/>
      <c r="AX155" s="110"/>
      <c r="AY155" s="110"/>
      <c r="AZ155" s="110"/>
      <c r="BA155" s="110"/>
      <c r="BB155" s="110"/>
      <c r="BC155" s="110"/>
      <c r="BD155" s="110"/>
      <c r="BE155" s="110"/>
      <c r="BF155" s="110"/>
      <c r="BG155" s="110"/>
      <c r="BH155" s="110"/>
      <c r="BI155" s="110"/>
      <c r="BJ155" s="110"/>
      <c r="BK155" s="110"/>
      <c r="BL155" s="110"/>
    </row>
    <row r="156" spans="1:64">
      <c r="A156" s="527" t="s">
        <v>698</v>
      </c>
      <c r="B156" s="527" t="s">
        <v>833</v>
      </c>
      <c r="C156" s="527" t="s">
        <v>33</v>
      </c>
      <c r="D156" s="527" t="s">
        <v>0</v>
      </c>
      <c r="E156" s="525" t="s">
        <v>39</v>
      </c>
      <c r="F156" s="526">
        <f>IFERROR(HLOOKUP(C156,'4.Team'!$CI$33:$DB$47,VLOOKUP(A156,$A$705:$B$714,2,FALSE),FALSE),0)</f>
        <v>0</v>
      </c>
      <c r="G156" s="526">
        <f t="shared" si="28"/>
        <v>0</v>
      </c>
      <c r="H156" s="525">
        <f>IFERROR(VLOOKUP($B156,'3.Tasks'!$BK$4:$BO$23,2,FALSE),0)</f>
        <v>0</v>
      </c>
      <c r="I156" s="529">
        <f t="shared" si="29"/>
        <v>0</v>
      </c>
      <c r="J156" s="529">
        <f>IFERROR(VLOOKUP($B156,'3.Tasks'!$BK$4:$BO$23,3,FALSE),0)</f>
        <v>0</v>
      </c>
      <c r="K156" s="529">
        <f t="shared" si="30"/>
        <v>0</v>
      </c>
      <c r="L156" s="529">
        <f>IFERROR(VLOOKUP($B156,'3.Tasks'!$BK$4:$BO$23,4,FALSE),0)</f>
        <v>0</v>
      </c>
      <c r="M156" s="529">
        <f t="shared" si="31"/>
        <v>0</v>
      </c>
      <c r="N156" s="529">
        <f>IFERROR(VLOOKUP($B156,'3.Tasks'!$BK$4:$BO$23,5,FALSE),0)</f>
        <v>0</v>
      </c>
      <c r="O156" s="529">
        <f t="shared" si="32"/>
        <v>0</v>
      </c>
      <c r="P156" s="530">
        <f t="shared" si="33"/>
        <v>0</v>
      </c>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row>
    <row r="157" spans="1:64">
      <c r="A157" s="527" t="s">
        <v>699</v>
      </c>
      <c r="B157" s="527" t="s">
        <v>833</v>
      </c>
      <c r="C157" s="527" t="s">
        <v>33</v>
      </c>
      <c r="D157" s="527" t="s">
        <v>0</v>
      </c>
      <c r="E157" s="525" t="s">
        <v>39</v>
      </c>
      <c r="F157" s="526">
        <f>IFERROR(HLOOKUP(C157,'4.Team'!$CI$33:$DB$47,VLOOKUP(A157,$A$705:$B$714,2,FALSE),FALSE),0)</f>
        <v>0</v>
      </c>
      <c r="G157" s="526">
        <f t="shared" si="28"/>
        <v>0</v>
      </c>
      <c r="H157" s="525">
        <f>IFERROR(VLOOKUP($B157,'3.Tasks'!$BK$4:$BO$23,2,FALSE),0)</f>
        <v>0</v>
      </c>
      <c r="I157" s="529">
        <f t="shared" si="29"/>
        <v>0</v>
      </c>
      <c r="J157" s="529">
        <f>IFERROR(VLOOKUP($B157,'3.Tasks'!$BK$4:$BO$23,3,FALSE),0)</f>
        <v>0</v>
      </c>
      <c r="K157" s="529">
        <f t="shared" si="30"/>
        <v>0</v>
      </c>
      <c r="L157" s="529">
        <f>IFERROR(VLOOKUP($B157,'3.Tasks'!$BK$4:$BO$23,4,FALSE),0)</f>
        <v>0</v>
      </c>
      <c r="M157" s="529">
        <f t="shared" si="31"/>
        <v>0</v>
      </c>
      <c r="N157" s="529">
        <f>IFERROR(VLOOKUP($B157,'3.Tasks'!$BK$4:$BO$23,5,FALSE),0)</f>
        <v>0</v>
      </c>
      <c r="O157" s="529">
        <f t="shared" si="32"/>
        <v>0</v>
      </c>
      <c r="P157" s="530">
        <f t="shared" si="33"/>
        <v>0</v>
      </c>
      <c r="AJ157" s="110"/>
      <c r="AK157" s="110"/>
      <c r="AL157" s="110"/>
      <c r="AM157" s="110"/>
      <c r="AN157" s="110"/>
      <c r="AO157" s="110"/>
      <c r="AP157" s="110"/>
      <c r="AQ157" s="110"/>
      <c r="AR157" s="110"/>
      <c r="AS157" s="110"/>
      <c r="AT157" s="110"/>
      <c r="AU157" s="110"/>
      <c r="AV157" s="110"/>
      <c r="AW157" s="110"/>
      <c r="AX157" s="110"/>
      <c r="AY157" s="110"/>
      <c r="AZ157" s="110"/>
      <c r="BA157" s="110"/>
      <c r="BB157" s="110"/>
      <c r="BC157" s="110"/>
      <c r="BD157" s="110"/>
      <c r="BE157" s="110"/>
      <c r="BF157" s="110"/>
      <c r="BG157" s="110"/>
      <c r="BH157" s="110"/>
      <c r="BI157" s="110"/>
      <c r="BJ157" s="110"/>
      <c r="BK157" s="110"/>
      <c r="BL157" s="110"/>
    </row>
    <row r="158" spans="1:64">
      <c r="A158" s="527" t="s">
        <v>700</v>
      </c>
      <c r="B158" s="527" t="s">
        <v>833</v>
      </c>
      <c r="C158" s="527" t="s">
        <v>33</v>
      </c>
      <c r="D158" s="527" t="s">
        <v>0</v>
      </c>
      <c r="E158" s="525" t="s">
        <v>39</v>
      </c>
      <c r="F158" s="526">
        <f>IFERROR(HLOOKUP(C158,'4.Team'!$CI$33:$DB$47,VLOOKUP(A158,$A$705:$B$714,2,FALSE),FALSE),0)</f>
        <v>0</v>
      </c>
      <c r="G158" s="526">
        <f t="shared" si="28"/>
        <v>0</v>
      </c>
      <c r="H158" s="525">
        <f>IFERROR(VLOOKUP($B158,'3.Tasks'!$BK$4:$BO$23,2,FALSE),0)</f>
        <v>0</v>
      </c>
      <c r="I158" s="529">
        <f t="shared" si="29"/>
        <v>0</v>
      </c>
      <c r="J158" s="529">
        <f>IFERROR(VLOOKUP($B158,'3.Tasks'!$BK$4:$BO$23,3,FALSE),0)</f>
        <v>0</v>
      </c>
      <c r="K158" s="529">
        <f t="shared" si="30"/>
        <v>0</v>
      </c>
      <c r="L158" s="529">
        <f>IFERROR(VLOOKUP($B158,'3.Tasks'!$BK$4:$BO$23,4,FALSE),0)</f>
        <v>0</v>
      </c>
      <c r="M158" s="529">
        <f t="shared" si="31"/>
        <v>0</v>
      </c>
      <c r="N158" s="529">
        <f>IFERROR(VLOOKUP($B158,'3.Tasks'!$BK$4:$BO$23,5,FALSE),0)</f>
        <v>0</v>
      </c>
      <c r="O158" s="529">
        <f t="shared" si="32"/>
        <v>0</v>
      </c>
      <c r="P158" s="530">
        <f t="shared" si="33"/>
        <v>0</v>
      </c>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row>
    <row r="159" spans="1:64">
      <c r="A159" s="527" t="s">
        <v>701</v>
      </c>
      <c r="B159" s="527" t="s">
        <v>833</v>
      </c>
      <c r="C159" s="527" t="s">
        <v>33</v>
      </c>
      <c r="D159" s="527" t="s">
        <v>0</v>
      </c>
      <c r="E159" s="525" t="s">
        <v>39</v>
      </c>
      <c r="F159" s="526">
        <f>IFERROR(HLOOKUP(C159,'4.Team'!$CI$33:$DB$47,VLOOKUP(A159,$A$705:$B$714,2,FALSE),FALSE),0)</f>
        <v>0</v>
      </c>
      <c r="G159" s="526">
        <f t="shared" si="28"/>
        <v>0</v>
      </c>
      <c r="H159" s="525">
        <f>IFERROR(VLOOKUP($B159,'3.Tasks'!$BK$4:$BO$23,2,FALSE),0)</f>
        <v>0</v>
      </c>
      <c r="I159" s="529">
        <f t="shared" si="29"/>
        <v>0</v>
      </c>
      <c r="J159" s="529">
        <f>IFERROR(VLOOKUP($B159,'3.Tasks'!$BK$4:$BO$23,3,FALSE),0)</f>
        <v>0</v>
      </c>
      <c r="K159" s="529">
        <f t="shared" si="30"/>
        <v>0</v>
      </c>
      <c r="L159" s="529">
        <f>IFERROR(VLOOKUP($B159,'3.Tasks'!$BK$4:$BO$23,4,FALSE),0)</f>
        <v>0</v>
      </c>
      <c r="M159" s="529">
        <f t="shared" si="31"/>
        <v>0</v>
      </c>
      <c r="N159" s="529">
        <f>IFERROR(VLOOKUP($B159,'3.Tasks'!$BK$4:$BO$23,5,FALSE),0)</f>
        <v>0</v>
      </c>
      <c r="O159" s="529">
        <f t="shared" si="32"/>
        <v>0</v>
      </c>
      <c r="P159" s="530">
        <f t="shared" si="33"/>
        <v>0</v>
      </c>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c r="BF159" s="110"/>
      <c r="BG159" s="110"/>
      <c r="BH159" s="110"/>
      <c r="BI159" s="110"/>
      <c r="BJ159" s="110"/>
      <c r="BK159" s="110"/>
      <c r="BL159" s="110"/>
    </row>
    <row r="160" spans="1:64">
      <c r="A160" s="527" t="s">
        <v>702</v>
      </c>
      <c r="B160" s="527" t="s">
        <v>833</v>
      </c>
      <c r="C160" s="527" t="s">
        <v>33</v>
      </c>
      <c r="D160" s="527" t="s">
        <v>0</v>
      </c>
      <c r="E160" s="525" t="s">
        <v>39</v>
      </c>
      <c r="F160" s="526">
        <f>IFERROR(HLOOKUP(C160,'4.Team'!$CI$33:$DB$47,VLOOKUP(A160,$A$705:$B$714,2,FALSE),FALSE),0)</f>
        <v>0</v>
      </c>
      <c r="G160" s="526">
        <f t="shared" si="28"/>
        <v>0</v>
      </c>
      <c r="H160" s="525">
        <f>IFERROR(VLOOKUP($B160,'3.Tasks'!$BK$4:$BO$23,2,FALSE),0)</f>
        <v>0</v>
      </c>
      <c r="I160" s="529">
        <f t="shared" si="29"/>
        <v>0</v>
      </c>
      <c r="J160" s="529">
        <f>IFERROR(VLOOKUP($B160,'3.Tasks'!$BK$4:$BO$23,3,FALSE),0)</f>
        <v>0</v>
      </c>
      <c r="K160" s="529">
        <f t="shared" si="30"/>
        <v>0</v>
      </c>
      <c r="L160" s="529">
        <f>IFERROR(VLOOKUP($B160,'3.Tasks'!$BK$4:$BO$23,4,FALSE),0)</f>
        <v>0</v>
      </c>
      <c r="M160" s="529">
        <f t="shared" si="31"/>
        <v>0</v>
      </c>
      <c r="N160" s="529">
        <f>IFERROR(VLOOKUP($B160,'3.Tasks'!$BK$4:$BO$23,5,FALSE),0)</f>
        <v>0</v>
      </c>
      <c r="O160" s="529">
        <f t="shared" si="32"/>
        <v>0</v>
      </c>
      <c r="P160" s="530">
        <f t="shared" si="33"/>
        <v>0</v>
      </c>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c r="BF160" s="110"/>
      <c r="BG160" s="110"/>
      <c r="BH160" s="110"/>
      <c r="BI160" s="110"/>
      <c r="BJ160" s="110"/>
      <c r="BK160" s="110"/>
      <c r="BL160" s="110"/>
    </row>
    <row r="161" spans="1:64">
      <c r="A161" s="527" t="s">
        <v>703</v>
      </c>
      <c r="B161" s="527" t="s">
        <v>833</v>
      </c>
      <c r="C161" s="527" t="s">
        <v>33</v>
      </c>
      <c r="D161" s="527" t="s">
        <v>0</v>
      </c>
      <c r="E161" s="525" t="s">
        <v>39</v>
      </c>
      <c r="F161" s="526">
        <f>IFERROR(HLOOKUP(C161,'4.Team'!$CI$33:$DB$47,VLOOKUP(A161,$A$705:$B$714,2,FALSE),FALSE),0)</f>
        <v>0</v>
      </c>
      <c r="G161" s="526">
        <f t="shared" si="28"/>
        <v>0</v>
      </c>
      <c r="H161" s="525">
        <f>IFERROR(VLOOKUP($B161,'3.Tasks'!$BK$4:$BO$23,2,FALSE),0)</f>
        <v>0</v>
      </c>
      <c r="I161" s="529">
        <f t="shared" si="29"/>
        <v>0</v>
      </c>
      <c r="J161" s="529">
        <f>IFERROR(VLOOKUP($B161,'3.Tasks'!$BK$4:$BO$23,3,FALSE),0)</f>
        <v>0</v>
      </c>
      <c r="K161" s="529">
        <f t="shared" si="30"/>
        <v>0</v>
      </c>
      <c r="L161" s="529">
        <f>IFERROR(VLOOKUP($B161,'3.Tasks'!$BK$4:$BO$23,4,FALSE),0)</f>
        <v>0</v>
      </c>
      <c r="M161" s="529">
        <f t="shared" si="31"/>
        <v>0</v>
      </c>
      <c r="N161" s="529">
        <f>IFERROR(VLOOKUP($B161,'3.Tasks'!$BK$4:$BO$23,5,FALSE),0)</f>
        <v>0</v>
      </c>
      <c r="O161" s="529">
        <f t="shared" si="32"/>
        <v>0</v>
      </c>
      <c r="P161" s="530">
        <f t="shared" si="33"/>
        <v>0</v>
      </c>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c r="BJ161" s="110"/>
      <c r="BK161" s="110"/>
      <c r="BL161" s="110"/>
    </row>
    <row r="162" spans="1:64">
      <c r="A162" s="527" t="s">
        <v>694</v>
      </c>
      <c r="B162" s="527" t="s">
        <v>834</v>
      </c>
      <c r="C162" s="527" t="s">
        <v>34</v>
      </c>
      <c r="D162" s="527" t="s">
        <v>0</v>
      </c>
      <c r="E162" s="525" t="s">
        <v>39</v>
      </c>
      <c r="F162" s="526">
        <f>IFERROR(HLOOKUP(C162,'4.Team'!$CI$33:$DB$47,VLOOKUP(A162,$A$705:$B$714,2,FALSE),FALSE),0)</f>
        <v>0</v>
      </c>
      <c r="G162" s="526">
        <f t="shared" si="28"/>
        <v>0</v>
      </c>
      <c r="H162" s="525">
        <f>IFERROR(VLOOKUP($B162,'3.Tasks'!$BK$4:$BO$23,2,FALSE),0)</f>
        <v>0</v>
      </c>
      <c r="I162" s="529">
        <f t="shared" si="29"/>
        <v>0</v>
      </c>
      <c r="J162" s="529">
        <f>IFERROR(VLOOKUP($B162,'3.Tasks'!$BK$4:$BO$23,3,FALSE),0)</f>
        <v>0</v>
      </c>
      <c r="K162" s="529">
        <f t="shared" si="30"/>
        <v>0</v>
      </c>
      <c r="L162" s="529">
        <f>IFERROR(VLOOKUP($B162,'3.Tasks'!$BK$4:$BO$23,4,FALSE),0)</f>
        <v>0</v>
      </c>
      <c r="M162" s="529">
        <f t="shared" si="31"/>
        <v>0</v>
      </c>
      <c r="N162" s="529">
        <f>IFERROR(VLOOKUP($B162,'3.Tasks'!$BK$4:$BO$23,5,FALSE),0)</f>
        <v>0</v>
      </c>
      <c r="O162" s="529">
        <f t="shared" si="32"/>
        <v>0</v>
      </c>
      <c r="P162" s="530">
        <f t="shared" si="33"/>
        <v>0</v>
      </c>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c r="BF162" s="110"/>
      <c r="BG162" s="110"/>
      <c r="BH162" s="110"/>
      <c r="BI162" s="110"/>
      <c r="BJ162" s="110"/>
      <c r="BK162" s="110"/>
      <c r="BL162" s="110"/>
    </row>
    <row r="163" spans="1:64">
      <c r="A163" s="527" t="s">
        <v>695</v>
      </c>
      <c r="B163" s="527" t="s">
        <v>834</v>
      </c>
      <c r="C163" s="527" t="s">
        <v>34</v>
      </c>
      <c r="D163" s="527" t="s">
        <v>0</v>
      </c>
      <c r="E163" s="525" t="s">
        <v>39</v>
      </c>
      <c r="F163" s="526">
        <f>IFERROR(HLOOKUP(C163,'4.Team'!$CI$33:$DB$47,VLOOKUP(A163,$A$705:$B$714,2,FALSE),FALSE),0)</f>
        <v>0</v>
      </c>
      <c r="G163" s="526">
        <f t="shared" si="28"/>
        <v>0</v>
      </c>
      <c r="H163" s="525">
        <f>IFERROR(VLOOKUP($B163,'3.Tasks'!$BK$4:$BO$23,2,FALSE),0)</f>
        <v>0</v>
      </c>
      <c r="I163" s="529">
        <f t="shared" si="29"/>
        <v>0</v>
      </c>
      <c r="J163" s="529">
        <f>IFERROR(VLOOKUP($B163,'3.Tasks'!$BK$4:$BO$23,3,FALSE),0)</f>
        <v>0</v>
      </c>
      <c r="K163" s="529">
        <f t="shared" si="30"/>
        <v>0</v>
      </c>
      <c r="L163" s="529">
        <f>IFERROR(VLOOKUP($B163,'3.Tasks'!$BK$4:$BO$23,4,FALSE),0)</f>
        <v>0</v>
      </c>
      <c r="M163" s="529">
        <f t="shared" si="31"/>
        <v>0</v>
      </c>
      <c r="N163" s="529">
        <f>IFERROR(VLOOKUP($B163,'3.Tasks'!$BK$4:$BO$23,5,FALSE),0)</f>
        <v>0</v>
      </c>
      <c r="O163" s="529">
        <f t="shared" si="32"/>
        <v>0</v>
      </c>
      <c r="P163" s="530">
        <f t="shared" si="33"/>
        <v>0</v>
      </c>
      <c r="AJ163" s="110"/>
      <c r="AK163" s="110"/>
      <c r="AL163" s="110"/>
      <c r="AM163" s="110"/>
      <c r="AN163" s="110"/>
      <c r="AO163" s="110"/>
      <c r="AP163" s="110"/>
      <c r="AQ163" s="110"/>
      <c r="AR163" s="110"/>
      <c r="AS163" s="110"/>
      <c r="AT163" s="110"/>
      <c r="AU163" s="110"/>
      <c r="AV163" s="110"/>
      <c r="AW163" s="110"/>
      <c r="AX163" s="110"/>
      <c r="AY163" s="110"/>
      <c r="AZ163" s="110"/>
      <c r="BA163" s="110"/>
      <c r="BB163" s="110"/>
      <c r="BC163" s="110"/>
      <c r="BD163" s="110"/>
      <c r="BE163" s="110"/>
      <c r="BF163" s="110"/>
      <c r="BG163" s="110"/>
      <c r="BH163" s="110"/>
      <c r="BI163" s="110"/>
      <c r="BJ163" s="110"/>
      <c r="BK163" s="110"/>
      <c r="BL163" s="110"/>
    </row>
    <row r="164" spans="1:64">
      <c r="A164" s="527" t="s">
        <v>696</v>
      </c>
      <c r="B164" s="527" t="s">
        <v>834</v>
      </c>
      <c r="C164" s="527" t="s">
        <v>34</v>
      </c>
      <c r="D164" s="527" t="s">
        <v>0</v>
      </c>
      <c r="E164" s="525" t="s">
        <v>39</v>
      </c>
      <c r="F164" s="526">
        <f>IFERROR(HLOOKUP(C164,'4.Team'!$CI$33:$DB$47,VLOOKUP(A164,$A$705:$B$714,2,FALSE),FALSE),0)</f>
        <v>0</v>
      </c>
      <c r="G164" s="526">
        <f t="shared" si="28"/>
        <v>0</v>
      </c>
      <c r="H164" s="525">
        <f>IFERROR(VLOOKUP($B164,'3.Tasks'!$BK$4:$BO$23,2,FALSE),0)</f>
        <v>0</v>
      </c>
      <c r="I164" s="529">
        <f t="shared" si="29"/>
        <v>0</v>
      </c>
      <c r="J164" s="529">
        <f>IFERROR(VLOOKUP($B164,'3.Tasks'!$BK$4:$BO$23,3,FALSE),0)</f>
        <v>0</v>
      </c>
      <c r="K164" s="529">
        <f t="shared" si="30"/>
        <v>0</v>
      </c>
      <c r="L164" s="529">
        <f>IFERROR(VLOOKUP($B164,'3.Tasks'!$BK$4:$BO$23,4,FALSE),0)</f>
        <v>0</v>
      </c>
      <c r="M164" s="529">
        <f t="shared" si="31"/>
        <v>0</v>
      </c>
      <c r="N164" s="529">
        <f>IFERROR(VLOOKUP($B164,'3.Tasks'!$BK$4:$BO$23,5,FALSE),0)</f>
        <v>0</v>
      </c>
      <c r="O164" s="529">
        <f t="shared" si="32"/>
        <v>0</v>
      </c>
      <c r="P164" s="530">
        <f t="shared" si="33"/>
        <v>0</v>
      </c>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c r="BF164" s="110"/>
      <c r="BG164" s="110"/>
      <c r="BH164" s="110"/>
      <c r="BI164" s="110"/>
      <c r="BJ164" s="110"/>
      <c r="BK164" s="110"/>
      <c r="BL164" s="110"/>
    </row>
    <row r="165" spans="1:64">
      <c r="A165" s="527" t="s">
        <v>697</v>
      </c>
      <c r="B165" s="527" t="s">
        <v>834</v>
      </c>
      <c r="C165" s="527" t="s">
        <v>34</v>
      </c>
      <c r="D165" s="527" t="s">
        <v>0</v>
      </c>
      <c r="E165" s="525" t="s">
        <v>39</v>
      </c>
      <c r="F165" s="526">
        <f>IFERROR(HLOOKUP(C165,'4.Team'!$CI$33:$DB$47,VLOOKUP(A165,$A$705:$B$714,2,FALSE),FALSE),0)</f>
        <v>0</v>
      </c>
      <c r="G165" s="526">
        <f t="shared" si="28"/>
        <v>0</v>
      </c>
      <c r="H165" s="525">
        <f>IFERROR(VLOOKUP($B165,'3.Tasks'!$BK$4:$BO$23,2,FALSE),0)</f>
        <v>0</v>
      </c>
      <c r="I165" s="529">
        <f t="shared" si="29"/>
        <v>0</v>
      </c>
      <c r="J165" s="529">
        <f>IFERROR(VLOOKUP($B165,'3.Tasks'!$BK$4:$BO$23,3,FALSE),0)</f>
        <v>0</v>
      </c>
      <c r="K165" s="529">
        <f t="shared" si="30"/>
        <v>0</v>
      </c>
      <c r="L165" s="529">
        <f>IFERROR(VLOOKUP($B165,'3.Tasks'!$BK$4:$BO$23,4,FALSE),0)</f>
        <v>0</v>
      </c>
      <c r="M165" s="529">
        <f t="shared" si="31"/>
        <v>0</v>
      </c>
      <c r="N165" s="529">
        <f>IFERROR(VLOOKUP($B165,'3.Tasks'!$BK$4:$BO$23,5,FALSE),0)</f>
        <v>0</v>
      </c>
      <c r="O165" s="529">
        <f t="shared" si="32"/>
        <v>0</v>
      </c>
      <c r="P165" s="530">
        <f t="shared" si="33"/>
        <v>0</v>
      </c>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c r="BF165" s="110"/>
      <c r="BG165" s="110"/>
      <c r="BH165" s="110"/>
      <c r="BI165" s="110"/>
      <c r="BJ165" s="110"/>
      <c r="BK165" s="110"/>
      <c r="BL165" s="110"/>
    </row>
    <row r="166" spans="1:64">
      <c r="A166" s="527" t="s">
        <v>698</v>
      </c>
      <c r="B166" s="527" t="s">
        <v>834</v>
      </c>
      <c r="C166" s="527" t="s">
        <v>34</v>
      </c>
      <c r="D166" s="527" t="s">
        <v>0</v>
      </c>
      <c r="E166" s="525" t="s">
        <v>39</v>
      </c>
      <c r="F166" s="526">
        <f>IFERROR(HLOOKUP(C166,'4.Team'!$CI$33:$DB$47,VLOOKUP(A166,$A$705:$B$714,2,FALSE),FALSE),0)</f>
        <v>0</v>
      </c>
      <c r="G166" s="526">
        <f t="shared" si="28"/>
        <v>0</v>
      </c>
      <c r="H166" s="525">
        <f>IFERROR(VLOOKUP($B166,'3.Tasks'!$BK$4:$BO$23,2,FALSE),0)</f>
        <v>0</v>
      </c>
      <c r="I166" s="529">
        <f t="shared" si="29"/>
        <v>0</v>
      </c>
      <c r="J166" s="529">
        <f>IFERROR(VLOOKUP($B166,'3.Tasks'!$BK$4:$BO$23,3,FALSE),0)</f>
        <v>0</v>
      </c>
      <c r="K166" s="529">
        <f t="shared" si="30"/>
        <v>0</v>
      </c>
      <c r="L166" s="529">
        <f>IFERROR(VLOOKUP($B166,'3.Tasks'!$BK$4:$BO$23,4,FALSE),0)</f>
        <v>0</v>
      </c>
      <c r="M166" s="529">
        <f t="shared" si="31"/>
        <v>0</v>
      </c>
      <c r="N166" s="529">
        <f>IFERROR(VLOOKUP($B166,'3.Tasks'!$BK$4:$BO$23,5,FALSE),0)</f>
        <v>0</v>
      </c>
      <c r="O166" s="529">
        <f t="shared" si="32"/>
        <v>0</v>
      </c>
      <c r="P166" s="530">
        <f t="shared" si="33"/>
        <v>0</v>
      </c>
      <c r="AJ166" s="110"/>
      <c r="AK166" s="110"/>
      <c r="AL166" s="110"/>
      <c r="AM166" s="110"/>
      <c r="AN166" s="110"/>
      <c r="AO166" s="110"/>
      <c r="AP166" s="110"/>
      <c r="AQ166" s="110"/>
      <c r="AR166" s="110"/>
      <c r="AS166" s="110"/>
      <c r="AT166" s="110"/>
      <c r="AU166" s="110"/>
      <c r="AV166" s="110"/>
      <c r="AW166" s="110"/>
      <c r="AX166" s="110"/>
      <c r="AY166" s="110"/>
      <c r="AZ166" s="110"/>
      <c r="BA166" s="110"/>
      <c r="BB166" s="110"/>
      <c r="BC166" s="110"/>
      <c r="BD166" s="110"/>
      <c r="BE166" s="110"/>
      <c r="BF166" s="110"/>
      <c r="BG166" s="110"/>
      <c r="BH166" s="110"/>
      <c r="BI166" s="110"/>
      <c r="BJ166" s="110"/>
      <c r="BK166" s="110"/>
      <c r="BL166" s="110"/>
    </row>
    <row r="167" spans="1:64">
      <c r="A167" s="527" t="s">
        <v>699</v>
      </c>
      <c r="B167" s="527" t="s">
        <v>834</v>
      </c>
      <c r="C167" s="527" t="s">
        <v>34</v>
      </c>
      <c r="D167" s="527" t="s">
        <v>0</v>
      </c>
      <c r="E167" s="525" t="s">
        <v>39</v>
      </c>
      <c r="F167" s="526">
        <f>IFERROR(HLOOKUP(C167,'4.Team'!$CI$33:$DB$47,VLOOKUP(A167,$A$705:$B$714,2,FALSE),FALSE),0)</f>
        <v>0</v>
      </c>
      <c r="G167" s="526">
        <f t="shared" si="28"/>
        <v>0</v>
      </c>
      <c r="H167" s="525">
        <f>IFERROR(VLOOKUP($B167,'3.Tasks'!$BK$4:$BO$23,2,FALSE),0)</f>
        <v>0</v>
      </c>
      <c r="I167" s="529">
        <f t="shared" si="29"/>
        <v>0</v>
      </c>
      <c r="J167" s="529">
        <f>IFERROR(VLOOKUP($B167,'3.Tasks'!$BK$4:$BO$23,3,FALSE),0)</f>
        <v>0</v>
      </c>
      <c r="K167" s="529">
        <f t="shared" si="30"/>
        <v>0</v>
      </c>
      <c r="L167" s="529">
        <f>IFERROR(VLOOKUP($B167,'3.Tasks'!$BK$4:$BO$23,4,FALSE),0)</f>
        <v>0</v>
      </c>
      <c r="M167" s="529">
        <f t="shared" si="31"/>
        <v>0</v>
      </c>
      <c r="N167" s="529">
        <f>IFERROR(VLOOKUP($B167,'3.Tasks'!$BK$4:$BO$23,5,FALSE),0)</f>
        <v>0</v>
      </c>
      <c r="O167" s="529">
        <f t="shared" si="32"/>
        <v>0</v>
      </c>
      <c r="P167" s="530">
        <f t="shared" si="33"/>
        <v>0</v>
      </c>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c r="BE167" s="110"/>
      <c r="BF167" s="110"/>
      <c r="BG167" s="110"/>
      <c r="BH167" s="110"/>
      <c r="BI167" s="110"/>
      <c r="BJ167" s="110"/>
      <c r="BK167" s="110"/>
      <c r="BL167" s="110"/>
    </row>
    <row r="168" spans="1:64">
      <c r="A168" s="527" t="s">
        <v>700</v>
      </c>
      <c r="B168" s="527" t="s">
        <v>834</v>
      </c>
      <c r="C168" s="527" t="s">
        <v>34</v>
      </c>
      <c r="D168" s="527" t="s">
        <v>0</v>
      </c>
      <c r="E168" s="525" t="s">
        <v>39</v>
      </c>
      <c r="F168" s="526">
        <f>IFERROR(HLOOKUP(C168,'4.Team'!$CI$33:$DB$47,VLOOKUP(A168,$A$705:$B$714,2,FALSE),FALSE),0)</f>
        <v>0</v>
      </c>
      <c r="G168" s="526">
        <f t="shared" si="28"/>
        <v>0</v>
      </c>
      <c r="H168" s="525">
        <f>IFERROR(VLOOKUP($B168,'3.Tasks'!$BK$4:$BO$23,2,FALSE),0)</f>
        <v>0</v>
      </c>
      <c r="I168" s="529">
        <f t="shared" si="29"/>
        <v>0</v>
      </c>
      <c r="J168" s="529">
        <f>IFERROR(VLOOKUP($B168,'3.Tasks'!$BK$4:$BO$23,3,FALSE),0)</f>
        <v>0</v>
      </c>
      <c r="K168" s="529">
        <f t="shared" si="30"/>
        <v>0</v>
      </c>
      <c r="L168" s="529">
        <f>IFERROR(VLOOKUP($B168,'3.Tasks'!$BK$4:$BO$23,4,FALSE),0)</f>
        <v>0</v>
      </c>
      <c r="M168" s="529">
        <f t="shared" si="31"/>
        <v>0</v>
      </c>
      <c r="N168" s="529">
        <f>IFERROR(VLOOKUP($B168,'3.Tasks'!$BK$4:$BO$23,5,FALSE),0)</f>
        <v>0</v>
      </c>
      <c r="O168" s="529">
        <f t="shared" si="32"/>
        <v>0</v>
      </c>
      <c r="P168" s="530">
        <f t="shared" si="33"/>
        <v>0</v>
      </c>
      <c r="AJ168" s="110"/>
      <c r="AK168" s="110"/>
      <c r="AL168" s="110"/>
      <c r="AM168" s="110"/>
      <c r="AN168" s="110"/>
      <c r="AO168" s="110"/>
      <c r="AP168" s="110"/>
      <c r="AQ168" s="110"/>
      <c r="AR168" s="110"/>
      <c r="AS168" s="110"/>
      <c r="AT168" s="110"/>
      <c r="AU168" s="110"/>
      <c r="AV168" s="110"/>
      <c r="AW168" s="110"/>
      <c r="AX168" s="110"/>
      <c r="AY168" s="110"/>
      <c r="AZ168" s="110"/>
      <c r="BA168" s="110"/>
      <c r="BB168" s="110"/>
      <c r="BC168" s="110"/>
      <c r="BD168" s="110"/>
      <c r="BE168" s="110"/>
      <c r="BF168" s="110"/>
      <c r="BG168" s="110"/>
      <c r="BH168" s="110"/>
      <c r="BI168" s="110"/>
      <c r="BJ168" s="110"/>
      <c r="BK168" s="110"/>
      <c r="BL168" s="110"/>
    </row>
    <row r="169" spans="1:64">
      <c r="A169" s="527" t="s">
        <v>701</v>
      </c>
      <c r="B169" s="527" t="s">
        <v>834</v>
      </c>
      <c r="C169" s="527" t="s">
        <v>34</v>
      </c>
      <c r="D169" s="527" t="s">
        <v>0</v>
      </c>
      <c r="E169" s="525" t="s">
        <v>39</v>
      </c>
      <c r="F169" s="526">
        <f>IFERROR(HLOOKUP(C169,'4.Team'!$CI$33:$DB$47,VLOOKUP(A169,$A$705:$B$714,2,FALSE),FALSE),0)</f>
        <v>0</v>
      </c>
      <c r="G169" s="526">
        <f t="shared" si="28"/>
        <v>0</v>
      </c>
      <c r="H169" s="525">
        <f>IFERROR(VLOOKUP($B169,'3.Tasks'!$BK$4:$BO$23,2,FALSE),0)</f>
        <v>0</v>
      </c>
      <c r="I169" s="529">
        <f t="shared" si="29"/>
        <v>0</v>
      </c>
      <c r="J169" s="529">
        <f>IFERROR(VLOOKUP($B169,'3.Tasks'!$BK$4:$BO$23,3,FALSE),0)</f>
        <v>0</v>
      </c>
      <c r="K169" s="529">
        <f t="shared" si="30"/>
        <v>0</v>
      </c>
      <c r="L169" s="529">
        <f>IFERROR(VLOOKUP($B169,'3.Tasks'!$BK$4:$BO$23,4,FALSE),0)</f>
        <v>0</v>
      </c>
      <c r="M169" s="529">
        <f t="shared" si="31"/>
        <v>0</v>
      </c>
      <c r="N169" s="529">
        <f>IFERROR(VLOOKUP($B169,'3.Tasks'!$BK$4:$BO$23,5,FALSE),0)</f>
        <v>0</v>
      </c>
      <c r="O169" s="529">
        <f t="shared" si="32"/>
        <v>0</v>
      </c>
      <c r="P169" s="530">
        <f t="shared" si="33"/>
        <v>0</v>
      </c>
      <c r="AJ169" s="110"/>
      <c r="AK169" s="110"/>
      <c r="AL169" s="110"/>
      <c r="AM169" s="110"/>
      <c r="AN169" s="110"/>
      <c r="AO169" s="110"/>
      <c r="AP169" s="110"/>
      <c r="AQ169" s="110"/>
      <c r="AR169" s="110"/>
      <c r="AS169" s="110"/>
      <c r="AT169" s="110"/>
      <c r="AU169" s="110"/>
      <c r="AV169" s="110"/>
      <c r="AW169" s="110"/>
      <c r="AX169" s="110"/>
      <c r="AY169" s="110"/>
      <c r="AZ169" s="110"/>
      <c r="BA169" s="110"/>
      <c r="BB169" s="110"/>
      <c r="BC169" s="110"/>
      <c r="BD169" s="110"/>
      <c r="BE169" s="110"/>
      <c r="BF169" s="110"/>
      <c r="BG169" s="110"/>
      <c r="BH169" s="110"/>
      <c r="BI169" s="110"/>
      <c r="BJ169" s="110"/>
      <c r="BK169" s="110"/>
      <c r="BL169" s="110"/>
    </row>
    <row r="170" spans="1:64">
      <c r="A170" s="527" t="s">
        <v>702</v>
      </c>
      <c r="B170" s="527" t="s">
        <v>834</v>
      </c>
      <c r="C170" s="527" t="s">
        <v>34</v>
      </c>
      <c r="D170" s="527" t="s">
        <v>0</v>
      </c>
      <c r="E170" s="525" t="s">
        <v>39</v>
      </c>
      <c r="F170" s="526">
        <f>IFERROR(HLOOKUP(C170,'4.Team'!$CI$33:$DB$47,VLOOKUP(A170,$A$705:$B$714,2,FALSE),FALSE),0)</f>
        <v>0</v>
      </c>
      <c r="G170" s="526">
        <f t="shared" si="28"/>
        <v>0</v>
      </c>
      <c r="H170" s="525">
        <f>IFERROR(VLOOKUP($B170,'3.Tasks'!$BK$4:$BO$23,2,FALSE),0)</f>
        <v>0</v>
      </c>
      <c r="I170" s="529">
        <f t="shared" si="29"/>
        <v>0</v>
      </c>
      <c r="J170" s="529">
        <f>IFERROR(VLOOKUP($B170,'3.Tasks'!$BK$4:$BO$23,3,FALSE),0)</f>
        <v>0</v>
      </c>
      <c r="K170" s="529">
        <f t="shared" si="30"/>
        <v>0</v>
      </c>
      <c r="L170" s="529">
        <f>IFERROR(VLOOKUP($B170,'3.Tasks'!$BK$4:$BO$23,4,FALSE),0)</f>
        <v>0</v>
      </c>
      <c r="M170" s="529">
        <f t="shared" si="31"/>
        <v>0</v>
      </c>
      <c r="N170" s="529">
        <f>IFERROR(VLOOKUP($B170,'3.Tasks'!$BK$4:$BO$23,5,FALSE),0)</f>
        <v>0</v>
      </c>
      <c r="O170" s="529">
        <f t="shared" si="32"/>
        <v>0</v>
      </c>
      <c r="P170" s="530">
        <f t="shared" si="33"/>
        <v>0</v>
      </c>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row>
    <row r="171" spans="1:64">
      <c r="A171" s="527" t="s">
        <v>703</v>
      </c>
      <c r="B171" s="527" t="s">
        <v>834</v>
      </c>
      <c r="C171" s="527" t="s">
        <v>34</v>
      </c>
      <c r="D171" s="527" t="s">
        <v>0</v>
      </c>
      <c r="E171" s="525" t="s">
        <v>39</v>
      </c>
      <c r="F171" s="526">
        <f>IFERROR(HLOOKUP(C171,'4.Team'!$CI$33:$DB$47,VLOOKUP(A171,$A$705:$B$714,2,FALSE),FALSE),0)</f>
        <v>0</v>
      </c>
      <c r="G171" s="526">
        <f t="shared" si="28"/>
        <v>0</v>
      </c>
      <c r="H171" s="525">
        <f>IFERROR(VLOOKUP($B171,'3.Tasks'!$BK$4:$BO$23,2,FALSE),0)</f>
        <v>0</v>
      </c>
      <c r="I171" s="529">
        <f t="shared" si="29"/>
        <v>0</v>
      </c>
      <c r="J171" s="529">
        <f>IFERROR(VLOOKUP($B171,'3.Tasks'!$BK$4:$BO$23,3,FALSE),0)</f>
        <v>0</v>
      </c>
      <c r="K171" s="529">
        <f t="shared" si="30"/>
        <v>0</v>
      </c>
      <c r="L171" s="529">
        <f>IFERROR(VLOOKUP($B171,'3.Tasks'!$BK$4:$BO$23,4,FALSE),0)</f>
        <v>0</v>
      </c>
      <c r="M171" s="529">
        <f t="shared" si="31"/>
        <v>0</v>
      </c>
      <c r="N171" s="529">
        <f>IFERROR(VLOOKUP($B171,'3.Tasks'!$BK$4:$BO$23,5,FALSE),0)</f>
        <v>0</v>
      </c>
      <c r="O171" s="529">
        <f t="shared" si="32"/>
        <v>0</v>
      </c>
      <c r="P171" s="530">
        <f t="shared" si="33"/>
        <v>0</v>
      </c>
      <c r="AJ171" s="110"/>
      <c r="AK171" s="110"/>
      <c r="AL171" s="110"/>
      <c r="AM171" s="110"/>
      <c r="AN171" s="110"/>
      <c r="AO171" s="110"/>
      <c r="AP171" s="110"/>
      <c r="AQ171" s="110"/>
      <c r="AR171" s="110"/>
      <c r="AS171" s="110"/>
      <c r="AT171" s="110"/>
      <c r="AU171" s="110"/>
      <c r="AV171" s="110"/>
      <c r="AW171" s="110"/>
      <c r="AX171" s="110"/>
      <c r="AY171" s="110"/>
      <c r="AZ171" s="110"/>
      <c r="BA171" s="110"/>
      <c r="BB171" s="110"/>
      <c r="BC171" s="110"/>
      <c r="BD171" s="110"/>
      <c r="BE171" s="110"/>
      <c r="BF171" s="110"/>
      <c r="BG171" s="110"/>
      <c r="BH171" s="110"/>
      <c r="BI171" s="110"/>
      <c r="BJ171" s="110"/>
      <c r="BK171" s="110"/>
      <c r="BL171" s="110"/>
    </row>
    <row r="172" spans="1:64">
      <c r="A172" s="527" t="s">
        <v>694</v>
      </c>
      <c r="B172" s="527" t="s">
        <v>835</v>
      </c>
      <c r="C172" s="527" t="s">
        <v>35</v>
      </c>
      <c r="D172" s="527" t="s">
        <v>0</v>
      </c>
      <c r="E172" s="525" t="s">
        <v>39</v>
      </c>
      <c r="F172" s="526">
        <f>IFERROR(HLOOKUP(C172,'4.Team'!$CI$33:$DB$47,VLOOKUP(A172,$A$705:$B$714,2,FALSE),FALSE),0)</f>
        <v>0</v>
      </c>
      <c r="G172" s="526">
        <f t="shared" si="28"/>
        <v>0</v>
      </c>
      <c r="H172" s="525">
        <f>IFERROR(VLOOKUP($B172,'3.Tasks'!$BK$4:$BO$23,2,FALSE),0)</f>
        <v>0</v>
      </c>
      <c r="I172" s="529">
        <f t="shared" si="29"/>
        <v>0</v>
      </c>
      <c r="J172" s="529">
        <f>IFERROR(VLOOKUP($B172,'3.Tasks'!$BK$4:$BO$23,3,FALSE),0)</f>
        <v>0</v>
      </c>
      <c r="K172" s="529">
        <f t="shared" si="30"/>
        <v>0</v>
      </c>
      <c r="L172" s="529">
        <f>IFERROR(VLOOKUP($B172,'3.Tasks'!$BK$4:$BO$23,4,FALSE),0)</f>
        <v>0</v>
      </c>
      <c r="M172" s="529">
        <f t="shared" si="31"/>
        <v>0</v>
      </c>
      <c r="N172" s="529">
        <f>IFERROR(VLOOKUP($B172,'3.Tasks'!$BK$4:$BO$23,5,FALSE),0)</f>
        <v>0</v>
      </c>
      <c r="O172" s="529">
        <f t="shared" si="32"/>
        <v>0</v>
      </c>
      <c r="P172" s="530">
        <f t="shared" si="33"/>
        <v>0</v>
      </c>
      <c r="AJ172" s="110"/>
      <c r="AK172" s="110"/>
      <c r="AL172" s="110"/>
      <c r="AM172" s="110"/>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row>
    <row r="173" spans="1:64">
      <c r="A173" s="527" t="s">
        <v>695</v>
      </c>
      <c r="B173" s="527" t="s">
        <v>835</v>
      </c>
      <c r="C173" s="527" t="s">
        <v>35</v>
      </c>
      <c r="D173" s="527" t="s">
        <v>0</v>
      </c>
      <c r="E173" s="525" t="s">
        <v>39</v>
      </c>
      <c r="F173" s="526">
        <f>IFERROR(HLOOKUP(C173,'4.Team'!$CI$33:$DB$47,VLOOKUP(A173,$A$705:$B$714,2,FALSE),FALSE),0)</f>
        <v>0</v>
      </c>
      <c r="G173" s="526">
        <f t="shared" si="28"/>
        <v>0</v>
      </c>
      <c r="H173" s="525">
        <f>IFERROR(VLOOKUP($B173,'3.Tasks'!$BK$4:$BO$23,2,FALSE),0)</f>
        <v>0</v>
      </c>
      <c r="I173" s="529">
        <f t="shared" si="29"/>
        <v>0</v>
      </c>
      <c r="J173" s="529">
        <f>IFERROR(VLOOKUP($B173,'3.Tasks'!$BK$4:$BO$23,3,FALSE),0)</f>
        <v>0</v>
      </c>
      <c r="K173" s="529">
        <f t="shared" si="30"/>
        <v>0</v>
      </c>
      <c r="L173" s="529">
        <f>IFERROR(VLOOKUP($B173,'3.Tasks'!$BK$4:$BO$23,4,FALSE),0)</f>
        <v>0</v>
      </c>
      <c r="M173" s="529">
        <f t="shared" si="31"/>
        <v>0</v>
      </c>
      <c r="N173" s="529">
        <f>IFERROR(VLOOKUP($B173,'3.Tasks'!$BK$4:$BO$23,5,FALSE),0)</f>
        <v>0</v>
      </c>
      <c r="O173" s="529">
        <f t="shared" si="32"/>
        <v>0</v>
      </c>
      <c r="P173" s="530">
        <f t="shared" si="33"/>
        <v>0</v>
      </c>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row>
    <row r="174" spans="1:64">
      <c r="A174" s="527" t="s">
        <v>696</v>
      </c>
      <c r="B174" s="527" t="s">
        <v>835</v>
      </c>
      <c r="C174" s="527" t="s">
        <v>35</v>
      </c>
      <c r="D174" s="527" t="s">
        <v>0</v>
      </c>
      <c r="E174" s="525" t="s">
        <v>39</v>
      </c>
      <c r="F174" s="526">
        <f>IFERROR(HLOOKUP(C174,'4.Team'!$CI$33:$DB$47,VLOOKUP(A174,$A$705:$B$714,2,FALSE),FALSE),0)</f>
        <v>0</v>
      </c>
      <c r="G174" s="526">
        <f t="shared" si="28"/>
        <v>0</v>
      </c>
      <c r="H174" s="525">
        <f>IFERROR(VLOOKUP($B174,'3.Tasks'!$BK$4:$BO$23,2,FALSE),0)</f>
        <v>0</v>
      </c>
      <c r="I174" s="529">
        <f t="shared" si="29"/>
        <v>0</v>
      </c>
      <c r="J174" s="529">
        <f>IFERROR(VLOOKUP($B174,'3.Tasks'!$BK$4:$BO$23,3,FALSE),0)</f>
        <v>0</v>
      </c>
      <c r="K174" s="529">
        <f t="shared" si="30"/>
        <v>0</v>
      </c>
      <c r="L174" s="529">
        <f>IFERROR(VLOOKUP($B174,'3.Tasks'!$BK$4:$BO$23,4,FALSE),0)</f>
        <v>0</v>
      </c>
      <c r="M174" s="529">
        <f t="shared" si="31"/>
        <v>0</v>
      </c>
      <c r="N174" s="529">
        <f>IFERROR(VLOOKUP($B174,'3.Tasks'!$BK$4:$BO$23,5,FALSE),0)</f>
        <v>0</v>
      </c>
      <c r="O174" s="529">
        <f t="shared" si="32"/>
        <v>0</v>
      </c>
      <c r="P174" s="530">
        <f t="shared" si="33"/>
        <v>0</v>
      </c>
      <c r="AJ174" s="110"/>
      <c r="AK174" s="110"/>
      <c r="AL174" s="110"/>
      <c r="AM174" s="110"/>
      <c r="AN174" s="110"/>
      <c r="AO174" s="110"/>
      <c r="AP174" s="110"/>
      <c r="AQ174" s="110"/>
      <c r="AR174" s="110"/>
      <c r="AS174" s="110"/>
      <c r="AT174" s="110"/>
      <c r="AU174" s="110"/>
      <c r="AV174" s="110"/>
      <c r="AW174" s="110"/>
      <c r="AX174" s="110"/>
      <c r="AY174" s="110"/>
      <c r="AZ174" s="110"/>
      <c r="BA174" s="110"/>
      <c r="BB174" s="110"/>
      <c r="BC174" s="110"/>
      <c r="BD174" s="110"/>
      <c r="BE174" s="110"/>
      <c r="BF174" s="110"/>
      <c r="BG174" s="110"/>
      <c r="BH174" s="110"/>
      <c r="BI174" s="110"/>
      <c r="BJ174" s="110"/>
      <c r="BK174" s="110"/>
      <c r="BL174" s="110"/>
    </row>
    <row r="175" spans="1:64">
      <c r="A175" s="527" t="s">
        <v>697</v>
      </c>
      <c r="B175" s="527" t="s">
        <v>835</v>
      </c>
      <c r="C175" s="527" t="s">
        <v>35</v>
      </c>
      <c r="D175" s="527" t="s">
        <v>0</v>
      </c>
      <c r="E175" s="525" t="s">
        <v>39</v>
      </c>
      <c r="F175" s="526">
        <f>IFERROR(HLOOKUP(C175,'4.Team'!$CI$33:$DB$47,VLOOKUP(A175,$A$705:$B$714,2,FALSE),FALSE),0)</f>
        <v>0</v>
      </c>
      <c r="G175" s="526">
        <f t="shared" si="28"/>
        <v>0</v>
      </c>
      <c r="H175" s="525">
        <f>IFERROR(VLOOKUP($B175,'3.Tasks'!$BK$4:$BO$23,2,FALSE),0)</f>
        <v>0</v>
      </c>
      <c r="I175" s="529">
        <f t="shared" si="29"/>
        <v>0</v>
      </c>
      <c r="J175" s="529">
        <f>IFERROR(VLOOKUP($B175,'3.Tasks'!$BK$4:$BO$23,3,FALSE),0)</f>
        <v>0</v>
      </c>
      <c r="K175" s="529">
        <f t="shared" si="30"/>
        <v>0</v>
      </c>
      <c r="L175" s="529">
        <f>IFERROR(VLOOKUP($B175,'3.Tasks'!$BK$4:$BO$23,4,FALSE),0)</f>
        <v>0</v>
      </c>
      <c r="M175" s="529">
        <f t="shared" si="31"/>
        <v>0</v>
      </c>
      <c r="N175" s="529">
        <f>IFERROR(VLOOKUP($B175,'3.Tasks'!$BK$4:$BO$23,5,FALSE),0)</f>
        <v>0</v>
      </c>
      <c r="O175" s="529">
        <f t="shared" si="32"/>
        <v>0</v>
      </c>
      <c r="P175" s="530">
        <f t="shared" si="33"/>
        <v>0</v>
      </c>
      <c r="AJ175" s="110"/>
      <c r="AK175" s="110"/>
      <c r="AL175" s="110"/>
      <c r="AM175" s="110"/>
      <c r="AN175" s="110"/>
      <c r="AO175" s="110"/>
      <c r="AP175" s="110"/>
      <c r="AQ175" s="110"/>
      <c r="AR175" s="110"/>
      <c r="AS175" s="110"/>
      <c r="AT175" s="110"/>
      <c r="AU175" s="110"/>
      <c r="AV175" s="110"/>
      <c r="AW175" s="110"/>
      <c r="AX175" s="110"/>
      <c r="AY175" s="110"/>
      <c r="AZ175" s="110"/>
      <c r="BA175" s="110"/>
      <c r="BB175" s="110"/>
      <c r="BC175" s="110"/>
      <c r="BD175" s="110"/>
      <c r="BE175" s="110"/>
      <c r="BF175" s="110"/>
      <c r="BG175" s="110"/>
      <c r="BH175" s="110"/>
      <c r="BI175" s="110"/>
      <c r="BJ175" s="110"/>
      <c r="BK175" s="110"/>
      <c r="BL175" s="110"/>
    </row>
    <row r="176" spans="1:64">
      <c r="A176" s="527" t="s">
        <v>698</v>
      </c>
      <c r="B176" s="527" t="s">
        <v>835</v>
      </c>
      <c r="C176" s="527" t="s">
        <v>35</v>
      </c>
      <c r="D176" s="527" t="s">
        <v>0</v>
      </c>
      <c r="E176" s="525" t="s">
        <v>39</v>
      </c>
      <c r="F176" s="526">
        <f>IFERROR(HLOOKUP(C176,'4.Team'!$CI$33:$DB$47,VLOOKUP(A176,$A$705:$B$714,2,FALSE),FALSE),0)</f>
        <v>0</v>
      </c>
      <c r="G176" s="526">
        <f t="shared" si="28"/>
        <v>0</v>
      </c>
      <c r="H176" s="525">
        <f>IFERROR(VLOOKUP($B176,'3.Tasks'!$BK$4:$BO$23,2,FALSE),0)</f>
        <v>0</v>
      </c>
      <c r="I176" s="529">
        <f t="shared" si="29"/>
        <v>0</v>
      </c>
      <c r="J176" s="529">
        <f>IFERROR(VLOOKUP($B176,'3.Tasks'!$BK$4:$BO$23,3,FALSE),0)</f>
        <v>0</v>
      </c>
      <c r="K176" s="529">
        <f t="shared" si="30"/>
        <v>0</v>
      </c>
      <c r="L176" s="529">
        <f>IFERROR(VLOOKUP($B176,'3.Tasks'!$BK$4:$BO$23,4,FALSE),0)</f>
        <v>0</v>
      </c>
      <c r="M176" s="529">
        <f t="shared" si="31"/>
        <v>0</v>
      </c>
      <c r="N176" s="529">
        <f>IFERROR(VLOOKUP($B176,'3.Tasks'!$BK$4:$BO$23,5,FALSE),0)</f>
        <v>0</v>
      </c>
      <c r="O176" s="529">
        <f t="shared" si="32"/>
        <v>0</v>
      </c>
      <c r="P176" s="530">
        <f t="shared" si="33"/>
        <v>0</v>
      </c>
      <c r="AJ176" s="110"/>
      <c r="AK176" s="110"/>
      <c r="AL176" s="110"/>
      <c r="AM176" s="110"/>
      <c r="AN176" s="110"/>
      <c r="AO176" s="110"/>
      <c r="AP176" s="110"/>
      <c r="AQ176" s="110"/>
      <c r="AR176" s="110"/>
      <c r="AS176" s="110"/>
      <c r="AT176" s="110"/>
      <c r="AU176" s="110"/>
      <c r="AV176" s="110"/>
      <c r="AW176" s="110"/>
      <c r="AX176" s="110"/>
      <c r="AY176" s="110"/>
      <c r="AZ176" s="110"/>
      <c r="BA176" s="110"/>
      <c r="BB176" s="110"/>
      <c r="BC176" s="110"/>
      <c r="BD176" s="110"/>
      <c r="BE176" s="110"/>
      <c r="BF176" s="110"/>
      <c r="BG176" s="110"/>
      <c r="BH176" s="110"/>
      <c r="BI176" s="110"/>
      <c r="BJ176" s="110"/>
      <c r="BK176" s="110"/>
      <c r="BL176" s="110"/>
    </row>
    <row r="177" spans="1:64">
      <c r="A177" s="527" t="s">
        <v>699</v>
      </c>
      <c r="B177" s="527" t="s">
        <v>835</v>
      </c>
      <c r="C177" s="527" t="s">
        <v>35</v>
      </c>
      <c r="D177" s="527" t="s">
        <v>0</v>
      </c>
      <c r="E177" s="525" t="s">
        <v>39</v>
      </c>
      <c r="F177" s="526">
        <f>IFERROR(HLOOKUP(C177,'4.Team'!$CI$33:$DB$47,VLOOKUP(A177,$A$705:$B$714,2,FALSE),FALSE),0)</f>
        <v>0</v>
      </c>
      <c r="G177" s="526">
        <f t="shared" si="28"/>
        <v>0</v>
      </c>
      <c r="H177" s="525">
        <f>IFERROR(VLOOKUP($B177,'3.Tasks'!$BK$4:$BO$23,2,FALSE),0)</f>
        <v>0</v>
      </c>
      <c r="I177" s="529">
        <f t="shared" si="29"/>
        <v>0</v>
      </c>
      <c r="J177" s="529">
        <f>IFERROR(VLOOKUP($B177,'3.Tasks'!$BK$4:$BO$23,3,FALSE),0)</f>
        <v>0</v>
      </c>
      <c r="K177" s="529">
        <f t="shared" si="30"/>
        <v>0</v>
      </c>
      <c r="L177" s="529">
        <f>IFERROR(VLOOKUP($B177,'3.Tasks'!$BK$4:$BO$23,4,FALSE),0)</f>
        <v>0</v>
      </c>
      <c r="M177" s="529">
        <f t="shared" si="31"/>
        <v>0</v>
      </c>
      <c r="N177" s="529">
        <f>IFERROR(VLOOKUP($B177,'3.Tasks'!$BK$4:$BO$23,5,FALSE),0)</f>
        <v>0</v>
      </c>
      <c r="O177" s="529">
        <f t="shared" si="32"/>
        <v>0</v>
      </c>
      <c r="P177" s="530">
        <f t="shared" si="33"/>
        <v>0</v>
      </c>
      <c r="AJ177" s="110"/>
      <c r="AK177" s="110"/>
      <c r="AL177" s="110"/>
      <c r="AM177" s="110"/>
      <c r="AN177" s="110"/>
      <c r="AO177" s="110"/>
      <c r="AP177" s="110"/>
      <c r="AQ177" s="110"/>
      <c r="AR177" s="110"/>
      <c r="AS177" s="110"/>
      <c r="AT177" s="110"/>
      <c r="AU177" s="110"/>
      <c r="AV177" s="110"/>
      <c r="AW177" s="110"/>
      <c r="AX177" s="110"/>
      <c r="AY177" s="110"/>
      <c r="AZ177" s="110"/>
      <c r="BA177" s="110"/>
      <c r="BB177" s="110"/>
      <c r="BC177" s="110"/>
      <c r="BD177" s="110"/>
      <c r="BE177" s="110"/>
      <c r="BF177" s="110"/>
      <c r="BG177" s="110"/>
      <c r="BH177" s="110"/>
      <c r="BI177" s="110"/>
      <c r="BJ177" s="110"/>
      <c r="BK177" s="110"/>
      <c r="BL177" s="110"/>
    </row>
    <row r="178" spans="1:64">
      <c r="A178" s="527" t="s">
        <v>700</v>
      </c>
      <c r="B178" s="527" t="s">
        <v>835</v>
      </c>
      <c r="C178" s="527" t="s">
        <v>35</v>
      </c>
      <c r="D178" s="527" t="s">
        <v>0</v>
      </c>
      <c r="E178" s="525" t="s">
        <v>39</v>
      </c>
      <c r="F178" s="526">
        <f>IFERROR(HLOOKUP(C178,'4.Team'!$CI$33:$DB$47,VLOOKUP(A178,$A$705:$B$714,2,FALSE),FALSE),0)</f>
        <v>0</v>
      </c>
      <c r="G178" s="526">
        <f t="shared" si="28"/>
        <v>0</v>
      </c>
      <c r="H178" s="525">
        <f>IFERROR(VLOOKUP($B178,'3.Tasks'!$BK$4:$BO$23,2,FALSE),0)</f>
        <v>0</v>
      </c>
      <c r="I178" s="529">
        <f t="shared" si="29"/>
        <v>0</v>
      </c>
      <c r="J178" s="529">
        <f>IFERROR(VLOOKUP($B178,'3.Tasks'!$BK$4:$BO$23,3,FALSE),0)</f>
        <v>0</v>
      </c>
      <c r="K178" s="529">
        <f t="shared" si="30"/>
        <v>0</v>
      </c>
      <c r="L178" s="529">
        <f>IFERROR(VLOOKUP($B178,'3.Tasks'!$BK$4:$BO$23,4,FALSE),0)</f>
        <v>0</v>
      </c>
      <c r="M178" s="529">
        <f t="shared" si="31"/>
        <v>0</v>
      </c>
      <c r="N178" s="529">
        <f>IFERROR(VLOOKUP($B178,'3.Tasks'!$BK$4:$BO$23,5,FALSE),0)</f>
        <v>0</v>
      </c>
      <c r="O178" s="529">
        <f t="shared" si="32"/>
        <v>0</v>
      </c>
      <c r="P178" s="530">
        <f t="shared" si="33"/>
        <v>0</v>
      </c>
      <c r="AJ178" s="110"/>
      <c r="AK178" s="110"/>
      <c r="AL178" s="110"/>
      <c r="AM178" s="110"/>
      <c r="AN178" s="110"/>
      <c r="AO178" s="110"/>
      <c r="AP178" s="110"/>
      <c r="AQ178" s="110"/>
      <c r="AR178" s="110"/>
      <c r="AS178" s="110"/>
      <c r="AT178" s="110"/>
      <c r="AU178" s="110"/>
      <c r="AV178" s="110"/>
      <c r="AW178" s="110"/>
      <c r="AX178" s="110"/>
      <c r="AY178" s="110"/>
      <c r="AZ178" s="110"/>
      <c r="BA178" s="110"/>
      <c r="BB178" s="110"/>
      <c r="BC178" s="110"/>
      <c r="BD178" s="110"/>
      <c r="BE178" s="110"/>
      <c r="BF178" s="110"/>
      <c r="BG178" s="110"/>
      <c r="BH178" s="110"/>
      <c r="BI178" s="110"/>
      <c r="BJ178" s="110"/>
      <c r="BK178" s="110"/>
      <c r="BL178" s="110"/>
    </row>
    <row r="179" spans="1:64">
      <c r="A179" s="527" t="s">
        <v>701</v>
      </c>
      <c r="B179" s="527" t="s">
        <v>835</v>
      </c>
      <c r="C179" s="527" t="s">
        <v>35</v>
      </c>
      <c r="D179" s="527" t="s">
        <v>0</v>
      </c>
      <c r="E179" s="525" t="s">
        <v>39</v>
      </c>
      <c r="F179" s="526">
        <f>IFERROR(HLOOKUP(C179,'4.Team'!$CI$33:$DB$47,VLOOKUP(A179,$A$705:$B$714,2,FALSE),FALSE),0)</f>
        <v>0</v>
      </c>
      <c r="G179" s="526">
        <f t="shared" si="28"/>
        <v>0</v>
      </c>
      <c r="H179" s="525">
        <f>IFERROR(VLOOKUP($B179,'3.Tasks'!$BK$4:$BO$23,2,FALSE),0)</f>
        <v>0</v>
      </c>
      <c r="I179" s="529">
        <f t="shared" si="29"/>
        <v>0</v>
      </c>
      <c r="J179" s="529">
        <f>IFERROR(VLOOKUP($B179,'3.Tasks'!$BK$4:$BO$23,3,FALSE),0)</f>
        <v>0</v>
      </c>
      <c r="K179" s="529">
        <f t="shared" si="30"/>
        <v>0</v>
      </c>
      <c r="L179" s="529">
        <f>IFERROR(VLOOKUP($B179,'3.Tasks'!$BK$4:$BO$23,4,FALSE),0)</f>
        <v>0</v>
      </c>
      <c r="M179" s="529">
        <f t="shared" si="31"/>
        <v>0</v>
      </c>
      <c r="N179" s="529">
        <f>IFERROR(VLOOKUP($B179,'3.Tasks'!$BK$4:$BO$23,5,FALSE),0)</f>
        <v>0</v>
      </c>
      <c r="O179" s="529">
        <f t="shared" si="32"/>
        <v>0</v>
      </c>
      <c r="P179" s="530">
        <f t="shared" si="33"/>
        <v>0</v>
      </c>
      <c r="AJ179" s="110"/>
      <c r="AK179" s="110"/>
      <c r="AL179" s="110"/>
      <c r="AM179" s="110"/>
      <c r="AN179" s="110"/>
      <c r="AO179" s="110"/>
      <c r="AP179" s="110"/>
      <c r="AQ179" s="110"/>
      <c r="AR179" s="110"/>
      <c r="AS179" s="110"/>
      <c r="AT179" s="110"/>
      <c r="AU179" s="110"/>
      <c r="AV179" s="110"/>
      <c r="AW179" s="110"/>
      <c r="AX179" s="110"/>
      <c r="AY179" s="110"/>
      <c r="AZ179" s="110"/>
      <c r="BA179" s="110"/>
      <c r="BB179" s="110"/>
      <c r="BC179" s="110"/>
      <c r="BD179" s="110"/>
      <c r="BE179" s="110"/>
      <c r="BF179" s="110"/>
      <c r="BG179" s="110"/>
      <c r="BH179" s="110"/>
      <c r="BI179" s="110"/>
      <c r="BJ179" s="110"/>
      <c r="BK179" s="110"/>
      <c r="BL179" s="110"/>
    </row>
    <row r="180" spans="1:64">
      <c r="A180" s="527" t="s">
        <v>702</v>
      </c>
      <c r="B180" s="527" t="s">
        <v>835</v>
      </c>
      <c r="C180" s="527" t="s">
        <v>35</v>
      </c>
      <c r="D180" s="527" t="s">
        <v>0</v>
      </c>
      <c r="E180" s="525" t="s">
        <v>39</v>
      </c>
      <c r="F180" s="526">
        <f>IFERROR(HLOOKUP(C180,'4.Team'!$CI$33:$DB$47,VLOOKUP(A180,$A$705:$B$714,2,FALSE),FALSE),0)</f>
        <v>0</v>
      </c>
      <c r="G180" s="526">
        <f t="shared" si="28"/>
        <v>0</v>
      </c>
      <c r="H180" s="525">
        <f>IFERROR(VLOOKUP($B180,'3.Tasks'!$BK$4:$BO$23,2,FALSE),0)</f>
        <v>0</v>
      </c>
      <c r="I180" s="529">
        <f t="shared" si="29"/>
        <v>0</v>
      </c>
      <c r="J180" s="529">
        <f>IFERROR(VLOOKUP($B180,'3.Tasks'!$BK$4:$BO$23,3,FALSE),0)</f>
        <v>0</v>
      </c>
      <c r="K180" s="529">
        <f t="shared" si="30"/>
        <v>0</v>
      </c>
      <c r="L180" s="529">
        <f>IFERROR(VLOOKUP($B180,'3.Tasks'!$BK$4:$BO$23,4,FALSE),0)</f>
        <v>0</v>
      </c>
      <c r="M180" s="529">
        <f t="shared" si="31"/>
        <v>0</v>
      </c>
      <c r="N180" s="529">
        <f>IFERROR(VLOOKUP($B180,'3.Tasks'!$BK$4:$BO$23,5,FALSE),0)</f>
        <v>0</v>
      </c>
      <c r="O180" s="529">
        <f t="shared" si="32"/>
        <v>0</v>
      </c>
      <c r="P180" s="530">
        <f t="shared" si="33"/>
        <v>0</v>
      </c>
      <c r="AJ180" s="110"/>
      <c r="AK180" s="110"/>
      <c r="AL180" s="110"/>
      <c r="AM180" s="110"/>
      <c r="AN180" s="110"/>
      <c r="AO180" s="110"/>
      <c r="AP180" s="110"/>
      <c r="AQ180" s="110"/>
      <c r="AR180" s="110"/>
      <c r="AS180" s="110"/>
      <c r="AT180" s="110"/>
      <c r="AU180" s="110"/>
      <c r="AV180" s="110"/>
      <c r="AW180" s="110"/>
      <c r="AX180" s="110"/>
      <c r="AY180" s="110"/>
      <c r="AZ180" s="110"/>
      <c r="BA180" s="110"/>
      <c r="BB180" s="110"/>
      <c r="BC180" s="110"/>
      <c r="BD180" s="110"/>
      <c r="BE180" s="110"/>
      <c r="BF180" s="110"/>
      <c r="BG180" s="110"/>
      <c r="BH180" s="110"/>
      <c r="BI180" s="110"/>
      <c r="BJ180" s="110"/>
      <c r="BK180" s="110"/>
      <c r="BL180" s="110"/>
    </row>
    <row r="181" spans="1:64">
      <c r="A181" s="527" t="s">
        <v>703</v>
      </c>
      <c r="B181" s="527" t="s">
        <v>835</v>
      </c>
      <c r="C181" s="527" t="s">
        <v>35</v>
      </c>
      <c r="D181" s="527" t="s">
        <v>0</v>
      </c>
      <c r="E181" s="525" t="s">
        <v>39</v>
      </c>
      <c r="F181" s="526">
        <f>IFERROR(HLOOKUP(C181,'4.Team'!$CI$33:$DB$47,VLOOKUP(A181,$A$705:$B$714,2,FALSE),FALSE),0)</f>
        <v>0</v>
      </c>
      <c r="G181" s="526">
        <f t="shared" si="28"/>
        <v>0</v>
      </c>
      <c r="H181" s="525">
        <f>IFERROR(VLOOKUP($B181,'3.Tasks'!$BK$4:$BO$23,2,FALSE),0)</f>
        <v>0</v>
      </c>
      <c r="I181" s="529">
        <f t="shared" si="29"/>
        <v>0</v>
      </c>
      <c r="J181" s="529">
        <f>IFERROR(VLOOKUP($B181,'3.Tasks'!$BK$4:$BO$23,3,FALSE),0)</f>
        <v>0</v>
      </c>
      <c r="K181" s="529">
        <f t="shared" si="30"/>
        <v>0</v>
      </c>
      <c r="L181" s="529">
        <f>IFERROR(VLOOKUP($B181,'3.Tasks'!$BK$4:$BO$23,4,FALSE),0)</f>
        <v>0</v>
      </c>
      <c r="M181" s="529">
        <f t="shared" si="31"/>
        <v>0</v>
      </c>
      <c r="N181" s="529">
        <f>IFERROR(VLOOKUP($B181,'3.Tasks'!$BK$4:$BO$23,5,FALSE),0)</f>
        <v>0</v>
      </c>
      <c r="O181" s="529">
        <f t="shared" si="32"/>
        <v>0</v>
      </c>
      <c r="P181" s="530">
        <f t="shared" si="33"/>
        <v>0</v>
      </c>
      <c r="AJ181" s="110"/>
      <c r="AK181" s="110"/>
      <c r="AL181" s="110"/>
      <c r="AM181" s="110"/>
      <c r="AN181" s="110"/>
      <c r="AO181" s="110"/>
      <c r="AP181" s="110"/>
      <c r="AQ181" s="110"/>
      <c r="AR181" s="110"/>
      <c r="AS181" s="110"/>
      <c r="AT181" s="110"/>
      <c r="AU181" s="110"/>
      <c r="AV181" s="110"/>
      <c r="AW181" s="110"/>
      <c r="AX181" s="110"/>
      <c r="AY181" s="110"/>
      <c r="AZ181" s="110"/>
      <c r="BA181" s="110"/>
      <c r="BB181" s="110"/>
      <c r="BC181" s="110"/>
      <c r="BD181" s="110"/>
      <c r="BE181" s="110"/>
      <c r="BF181" s="110"/>
      <c r="BG181" s="110"/>
      <c r="BH181" s="110"/>
      <c r="BI181" s="110"/>
      <c r="BJ181" s="110"/>
      <c r="BK181" s="110"/>
      <c r="BL181" s="110"/>
    </row>
    <row r="182" spans="1:64">
      <c r="A182" s="527" t="s">
        <v>694</v>
      </c>
      <c r="B182" s="527" t="s">
        <v>836</v>
      </c>
      <c r="C182" s="527" t="s">
        <v>36</v>
      </c>
      <c r="D182" s="527" t="s">
        <v>0</v>
      </c>
      <c r="E182" s="525" t="s">
        <v>39</v>
      </c>
      <c r="F182" s="526">
        <f>IFERROR(HLOOKUP(C182,'4.Team'!$CI$33:$DB$47,VLOOKUP(A182,$A$705:$B$714,2,FALSE),FALSE),0)</f>
        <v>0</v>
      </c>
      <c r="G182" s="526">
        <f t="shared" si="28"/>
        <v>0</v>
      </c>
      <c r="H182" s="525">
        <f>IFERROR(VLOOKUP($B182,'3.Tasks'!$BK$4:$BO$23,2,FALSE),0)</f>
        <v>0</v>
      </c>
      <c r="I182" s="529">
        <f t="shared" si="29"/>
        <v>0</v>
      </c>
      <c r="J182" s="529">
        <f>IFERROR(VLOOKUP($B182,'3.Tasks'!$BK$4:$BO$23,3,FALSE),0)</f>
        <v>0</v>
      </c>
      <c r="K182" s="529">
        <f t="shared" si="30"/>
        <v>0</v>
      </c>
      <c r="L182" s="529">
        <f>IFERROR(VLOOKUP($B182,'3.Tasks'!$BK$4:$BO$23,4,FALSE),0)</f>
        <v>0</v>
      </c>
      <c r="M182" s="529">
        <f t="shared" si="31"/>
        <v>0</v>
      </c>
      <c r="N182" s="529">
        <f>IFERROR(VLOOKUP($B182,'3.Tasks'!$BK$4:$BO$23,5,FALSE),0)</f>
        <v>0</v>
      </c>
      <c r="O182" s="529">
        <f t="shared" si="32"/>
        <v>0</v>
      </c>
      <c r="P182" s="530">
        <f t="shared" si="33"/>
        <v>0</v>
      </c>
      <c r="AJ182" s="110"/>
      <c r="AK182" s="110"/>
      <c r="AL182" s="110"/>
      <c r="AM182" s="110"/>
      <c r="AN182" s="110"/>
      <c r="AO182" s="110"/>
      <c r="AP182" s="110"/>
      <c r="AQ182" s="110"/>
      <c r="AR182" s="110"/>
      <c r="AS182" s="110"/>
      <c r="AT182" s="110"/>
      <c r="AU182" s="110"/>
      <c r="AV182" s="110"/>
      <c r="AW182" s="110"/>
      <c r="AX182" s="110"/>
      <c r="AY182" s="110"/>
      <c r="AZ182" s="110"/>
      <c r="BA182" s="110"/>
      <c r="BB182" s="110"/>
      <c r="BC182" s="110"/>
      <c r="BD182" s="110"/>
      <c r="BE182" s="110"/>
      <c r="BF182" s="110"/>
      <c r="BG182" s="110"/>
      <c r="BH182" s="110"/>
      <c r="BI182" s="110"/>
      <c r="BJ182" s="110"/>
      <c r="BK182" s="110"/>
      <c r="BL182" s="110"/>
    </row>
    <row r="183" spans="1:64">
      <c r="A183" s="527" t="s">
        <v>695</v>
      </c>
      <c r="B183" s="527" t="s">
        <v>836</v>
      </c>
      <c r="C183" s="527" t="s">
        <v>36</v>
      </c>
      <c r="D183" s="527" t="s">
        <v>0</v>
      </c>
      <c r="E183" s="525" t="s">
        <v>39</v>
      </c>
      <c r="F183" s="526">
        <f>IFERROR(HLOOKUP(C183,'4.Team'!$CI$33:$DB$47,VLOOKUP(A183,$A$705:$B$714,2,FALSE),FALSE),0)</f>
        <v>0</v>
      </c>
      <c r="G183" s="526">
        <f t="shared" si="28"/>
        <v>0</v>
      </c>
      <c r="H183" s="525">
        <f>IFERROR(VLOOKUP($B183,'3.Tasks'!$BK$4:$BO$23,2,FALSE),0)</f>
        <v>0</v>
      </c>
      <c r="I183" s="529">
        <f t="shared" si="29"/>
        <v>0</v>
      </c>
      <c r="J183" s="529">
        <f>IFERROR(VLOOKUP($B183,'3.Tasks'!$BK$4:$BO$23,3,FALSE),0)</f>
        <v>0</v>
      </c>
      <c r="K183" s="529">
        <f t="shared" si="30"/>
        <v>0</v>
      </c>
      <c r="L183" s="529">
        <f>IFERROR(VLOOKUP($B183,'3.Tasks'!$BK$4:$BO$23,4,FALSE),0)</f>
        <v>0</v>
      </c>
      <c r="M183" s="529">
        <f t="shared" si="31"/>
        <v>0</v>
      </c>
      <c r="N183" s="529">
        <f>IFERROR(VLOOKUP($B183,'3.Tasks'!$BK$4:$BO$23,5,FALSE),0)</f>
        <v>0</v>
      </c>
      <c r="O183" s="529">
        <f t="shared" si="32"/>
        <v>0</v>
      </c>
      <c r="P183" s="530">
        <f t="shared" si="33"/>
        <v>0</v>
      </c>
      <c r="AJ183" s="110"/>
      <c r="AK183" s="110"/>
      <c r="AL183" s="110"/>
      <c r="AM183" s="110"/>
      <c r="AN183" s="110"/>
      <c r="AO183" s="110"/>
      <c r="AP183" s="110"/>
      <c r="AQ183" s="110"/>
      <c r="AR183" s="110"/>
      <c r="AS183" s="110"/>
      <c r="AT183" s="110"/>
      <c r="AU183" s="110"/>
      <c r="AV183" s="110"/>
      <c r="AW183" s="110"/>
      <c r="AX183" s="110"/>
      <c r="AY183" s="110"/>
      <c r="AZ183" s="110"/>
      <c r="BA183" s="110"/>
      <c r="BB183" s="110"/>
      <c r="BC183" s="110"/>
      <c r="BD183" s="110"/>
      <c r="BE183" s="110"/>
      <c r="BF183" s="110"/>
      <c r="BG183" s="110"/>
      <c r="BH183" s="110"/>
      <c r="BI183" s="110"/>
      <c r="BJ183" s="110"/>
      <c r="BK183" s="110"/>
      <c r="BL183" s="110"/>
    </row>
    <row r="184" spans="1:64">
      <c r="A184" s="527" t="s">
        <v>696</v>
      </c>
      <c r="B184" s="527" t="s">
        <v>836</v>
      </c>
      <c r="C184" s="527" t="s">
        <v>36</v>
      </c>
      <c r="D184" s="527" t="s">
        <v>0</v>
      </c>
      <c r="E184" s="525" t="s">
        <v>39</v>
      </c>
      <c r="F184" s="526">
        <f>IFERROR(HLOOKUP(C184,'4.Team'!$CI$33:$DB$47,VLOOKUP(A184,$A$705:$B$714,2,FALSE),FALSE),0)</f>
        <v>0</v>
      </c>
      <c r="G184" s="526">
        <f t="shared" si="28"/>
        <v>0</v>
      </c>
      <c r="H184" s="525">
        <f>IFERROR(VLOOKUP($B184,'3.Tasks'!$BK$4:$BO$23,2,FALSE),0)</f>
        <v>0</v>
      </c>
      <c r="I184" s="529">
        <f t="shared" si="29"/>
        <v>0</v>
      </c>
      <c r="J184" s="529">
        <f>IFERROR(VLOOKUP($B184,'3.Tasks'!$BK$4:$BO$23,3,FALSE),0)</f>
        <v>0</v>
      </c>
      <c r="K184" s="529">
        <f t="shared" si="30"/>
        <v>0</v>
      </c>
      <c r="L184" s="529">
        <f>IFERROR(VLOOKUP($B184,'3.Tasks'!$BK$4:$BO$23,4,FALSE),0)</f>
        <v>0</v>
      </c>
      <c r="M184" s="529">
        <f t="shared" si="31"/>
        <v>0</v>
      </c>
      <c r="N184" s="529">
        <f>IFERROR(VLOOKUP($B184,'3.Tasks'!$BK$4:$BO$23,5,FALSE),0)</f>
        <v>0</v>
      </c>
      <c r="O184" s="529">
        <f t="shared" si="32"/>
        <v>0</v>
      </c>
      <c r="P184" s="530">
        <f t="shared" si="33"/>
        <v>0</v>
      </c>
      <c r="AJ184" s="110"/>
      <c r="AK184" s="110"/>
      <c r="AL184" s="110"/>
      <c r="AM184" s="110"/>
      <c r="AN184" s="110"/>
      <c r="AO184" s="110"/>
      <c r="AP184" s="110"/>
      <c r="AQ184" s="110"/>
      <c r="AR184" s="110"/>
      <c r="AS184" s="110"/>
      <c r="AT184" s="110"/>
      <c r="AU184" s="110"/>
      <c r="AV184" s="110"/>
      <c r="AW184" s="110"/>
      <c r="AX184" s="110"/>
      <c r="AY184" s="110"/>
      <c r="AZ184" s="110"/>
      <c r="BA184" s="110"/>
      <c r="BB184" s="110"/>
      <c r="BC184" s="110"/>
      <c r="BD184" s="110"/>
      <c r="BE184" s="110"/>
      <c r="BF184" s="110"/>
      <c r="BG184" s="110"/>
      <c r="BH184" s="110"/>
      <c r="BI184" s="110"/>
      <c r="BJ184" s="110"/>
      <c r="BK184" s="110"/>
      <c r="BL184" s="110"/>
    </row>
    <row r="185" spans="1:64">
      <c r="A185" s="527" t="s">
        <v>697</v>
      </c>
      <c r="B185" s="527" t="s">
        <v>836</v>
      </c>
      <c r="C185" s="527" t="s">
        <v>36</v>
      </c>
      <c r="D185" s="527" t="s">
        <v>0</v>
      </c>
      <c r="E185" s="525" t="s">
        <v>39</v>
      </c>
      <c r="F185" s="526">
        <f>IFERROR(HLOOKUP(C185,'4.Team'!$CI$33:$DB$47,VLOOKUP(A185,$A$705:$B$714,2,FALSE),FALSE),0)</f>
        <v>0</v>
      </c>
      <c r="G185" s="526">
        <f t="shared" si="28"/>
        <v>0</v>
      </c>
      <c r="H185" s="525">
        <f>IFERROR(VLOOKUP($B185,'3.Tasks'!$BK$4:$BO$23,2,FALSE),0)</f>
        <v>0</v>
      </c>
      <c r="I185" s="529">
        <f t="shared" si="29"/>
        <v>0</v>
      </c>
      <c r="J185" s="529">
        <f>IFERROR(VLOOKUP($B185,'3.Tasks'!$BK$4:$BO$23,3,FALSE),0)</f>
        <v>0</v>
      </c>
      <c r="K185" s="529">
        <f t="shared" si="30"/>
        <v>0</v>
      </c>
      <c r="L185" s="529">
        <f>IFERROR(VLOOKUP($B185,'3.Tasks'!$BK$4:$BO$23,4,FALSE),0)</f>
        <v>0</v>
      </c>
      <c r="M185" s="529">
        <f t="shared" si="31"/>
        <v>0</v>
      </c>
      <c r="N185" s="529">
        <f>IFERROR(VLOOKUP($B185,'3.Tasks'!$BK$4:$BO$23,5,FALSE),0)</f>
        <v>0</v>
      </c>
      <c r="O185" s="529">
        <f t="shared" si="32"/>
        <v>0</v>
      </c>
      <c r="P185" s="530">
        <f t="shared" si="33"/>
        <v>0</v>
      </c>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0"/>
    </row>
    <row r="186" spans="1:64">
      <c r="A186" s="527" t="s">
        <v>698</v>
      </c>
      <c r="B186" s="527" t="s">
        <v>836</v>
      </c>
      <c r="C186" s="527" t="s">
        <v>36</v>
      </c>
      <c r="D186" s="527" t="s">
        <v>0</v>
      </c>
      <c r="E186" s="525" t="s">
        <v>39</v>
      </c>
      <c r="F186" s="526">
        <f>IFERROR(HLOOKUP(C186,'4.Team'!$CI$33:$DB$47,VLOOKUP(A186,$A$705:$B$714,2,FALSE),FALSE),0)</f>
        <v>0</v>
      </c>
      <c r="G186" s="526">
        <f t="shared" si="28"/>
        <v>0</v>
      </c>
      <c r="H186" s="525">
        <f>IFERROR(VLOOKUP($B186,'3.Tasks'!$BK$4:$BO$23,2,FALSE),0)</f>
        <v>0</v>
      </c>
      <c r="I186" s="529">
        <f t="shared" si="29"/>
        <v>0</v>
      </c>
      <c r="J186" s="529">
        <f>IFERROR(VLOOKUP($B186,'3.Tasks'!$BK$4:$BO$23,3,FALSE),0)</f>
        <v>0</v>
      </c>
      <c r="K186" s="529">
        <f t="shared" si="30"/>
        <v>0</v>
      </c>
      <c r="L186" s="529">
        <f>IFERROR(VLOOKUP($B186,'3.Tasks'!$BK$4:$BO$23,4,FALSE),0)</f>
        <v>0</v>
      </c>
      <c r="M186" s="529">
        <f t="shared" si="31"/>
        <v>0</v>
      </c>
      <c r="N186" s="529">
        <f>IFERROR(VLOOKUP($B186,'3.Tasks'!$BK$4:$BO$23,5,FALSE),0)</f>
        <v>0</v>
      </c>
      <c r="O186" s="529">
        <f t="shared" si="32"/>
        <v>0</v>
      </c>
      <c r="P186" s="530">
        <f t="shared" si="33"/>
        <v>0</v>
      </c>
      <c r="AJ186" s="110"/>
      <c r="AK186" s="110"/>
      <c r="AL186" s="110"/>
      <c r="AM186" s="110"/>
      <c r="AN186" s="110"/>
      <c r="AO186" s="110"/>
      <c r="AP186" s="110"/>
      <c r="AQ186" s="110"/>
      <c r="AR186" s="110"/>
      <c r="AS186" s="110"/>
      <c r="AT186" s="110"/>
      <c r="AU186" s="110"/>
      <c r="AV186" s="110"/>
      <c r="AW186" s="110"/>
      <c r="AX186" s="110"/>
      <c r="AY186" s="110"/>
      <c r="AZ186" s="110"/>
      <c r="BA186" s="110"/>
      <c r="BB186" s="110"/>
      <c r="BC186" s="110"/>
      <c r="BD186" s="110"/>
      <c r="BE186" s="110"/>
      <c r="BF186" s="110"/>
      <c r="BG186" s="110"/>
      <c r="BH186" s="110"/>
      <c r="BI186" s="110"/>
      <c r="BJ186" s="110"/>
      <c r="BK186" s="110"/>
      <c r="BL186" s="110"/>
    </row>
    <row r="187" spans="1:64">
      <c r="A187" s="527" t="s">
        <v>699</v>
      </c>
      <c r="B187" s="527" t="s">
        <v>836</v>
      </c>
      <c r="C187" s="527" t="s">
        <v>36</v>
      </c>
      <c r="D187" s="527" t="s">
        <v>0</v>
      </c>
      <c r="E187" s="525" t="s">
        <v>39</v>
      </c>
      <c r="F187" s="526">
        <f>IFERROR(HLOOKUP(C187,'4.Team'!$CI$33:$DB$47,VLOOKUP(A187,$A$705:$B$714,2,FALSE),FALSE),0)</f>
        <v>0</v>
      </c>
      <c r="G187" s="526">
        <f t="shared" si="28"/>
        <v>0</v>
      </c>
      <c r="H187" s="525">
        <f>IFERROR(VLOOKUP($B187,'3.Tasks'!$BK$4:$BO$23,2,FALSE),0)</f>
        <v>0</v>
      </c>
      <c r="I187" s="529">
        <f t="shared" si="29"/>
        <v>0</v>
      </c>
      <c r="J187" s="529">
        <f>IFERROR(VLOOKUP($B187,'3.Tasks'!$BK$4:$BO$23,3,FALSE),0)</f>
        <v>0</v>
      </c>
      <c r="K187" s="529">
        <f t="shared" si="30"/>
        <v>0</v>
      </c>
      <c r="L187" s="529">
        <f>IFERROR(VLOOKUP($B187,'3.Tasks'!$BK$4:$BO$23,4,FALSE),0)</f>
        <v>0</v>
      </c>
      <c r="M187" s="529">
        <f t="shared" si="31"/>
        <v>0</v>
      </c>
      <c r="N187" s="529">
        <f>IFERROR(VLOOKUP($B187,'3.Tasks'!$BK$4:$BO$23,5,FALSE),0)</f>
        <v>0</v>
      </c>
      <c r="O187" s="529">
        <f t="shared" si="32"/>
        <v>0</v>
      </c>
      <c r="P187" s="530">
        <f t="shared" si="33"/>
        <v>0</v>
      </c>
      <c r="AJ187" s="110"/>
      <c r="AK187" s="110"/>
      <c r="AL187" s="110"/>
      <c r="AM187" s="110"/>
      <c r="AN187" s="110"/>
      <c r="AO187" s="110"/>
      <c r="AP187" s="110"/>
      <c r="AQ187" s="110"/>
      <c r="AR187" s="110"/>
      <c r="AS187" s="110"/>
      <c r="AT187" s="110"/>
      <c r="AU187" s="110"/>
      <c r="AV187" s="110"/>
      <c r="AW187" s="110"/>
      <c r="AX187" s="110"/>
      <c r="AY187" s="110"/>
      <c r="AZ187" s="110"/>
      <c r="BA187" s="110"/>
      <c r="BB187" s="110"/>
      <c r="BC187" s="110"/>
      <c r="BD187" s="110"/>
      <c r="BE187" s="110"/>
      <c r="BF187" s="110"/>
      <c r="BG187" s="110"/>
      <c r="BH187" s="110"/>
      <c r="BI187" s="110"/>
      <c r="BJ187" s="110"/>
      <c r="BK187" s="110"/>
      <c r="BL187" s="110"/>
    </row>
    <row r="188" spans="1:64">
      <c r="A188" s="527" t="s">
        <v>700</v>
      </c>
      <c r="B188" s="527" t="s">
        <v>836</v>
      </c>
      <c r="C188" s="527" t="s">
        <v>36</v>
      </c>
      <c r="D188" s="527" t="s">
        <v>0</v>
      </c>
      <c r="E188" s="525" t="s">
        <v>39</v>
      </c>
      <c r="F188" s="526">
        <f>IFERROR(HLOOKUP(C188,'4.Team'!$CI$33:$DB$47,VLOOKUP(A188,$A$705:$B$714,2,FALSE),FALSE),0)</f>
        <v>0</v>
      </c>
      <c r="G188" s="526">
        <f t="shared" si="28"/>
        <v>0</v>
      </c>
      <c r="H188" s="525">
        <f>IFERROR(VLOOKUP($B188,'3.Tasks'!$BK$4:$BO$23,2,FALSE),0)</f>
        <v>0</v>
      </c>
      <c r="I188" s="529">
        <f t="shared" si="29"/>
        <v>0</v>
      </c>
      <c r="J188" s="529">
        <f>IFERROR(VLOOKUP($B188,'3.Tasks'!$BK$4:$BO$23,3,FALSE),0)</f>
        <v>0</v>
      </c>
      <c r="K188" s="529">
        <f t="shared" si="30"/>
        <v>0</v>
      </c>
      <c r="L188" s="529">
        <f>IFERROR(VLOOKUP($B188,'3.Tasks'!$BK$4:$BO$23,4,FALSE),0)</f>
        <v>0</v>
      </c>
      <c r="M188" s="529">
        <f t="shared" si="31"/>
        <v>0</v>
      </c>
      <c r="N188" s="529">
        <f>IFERROR(VLOOKUP($B188,'3.Tasks'!$BK$4:$BO$23,5,FALSE),0)</f>
        <v>0</v>
      </c>
      <c r="O188" s="529">
        <f t="shared" si="32"/>
        <v>0</v>
      </c>
      <c r="P188" s="530">
        <f t="shared" si="33"/>
        <v>0</v>
      </c>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row>
    <row r="189" spans="1:64">
      <c r="A189" s="527" t="s">
        <v>701</v>
      </c>
      <c r="B189" s="527" t="s">
        <v>836</v>
      </c>
      <c r="C189" s="527" t="s">
        <v>36</v>
      </c>
      <c r="D189" s="527" t="s">
        <v>0</v>
      </c>
      <c r="E189" s="525" t="s">
        <v>39</v>
      </c>
      <c r="F189" s="526">
        <f>IFERROR(HLOOKUP(C189,'4.Team'!$CI$33:$DB$47,VLOOKUP(A189,$A$705:$B$714,2,FALSE),FALSE),0)</f>
        <v>0</v>
      </c>
      <c r="G189" s="526">
        <f t="shared" si="28"/>
        <v>0</v>
      </c>
      <c r="H189" s="525">
        <f>IFERROR(VLOOKUP($B189,'3.Tasks'!$BK$4:$BO$23,2,FALSE),0)</f>
        <v>0</v>
      </c>
      <c r="I189" s="529">
        <f t="shared" si="29"/>
        <v>0</v>
      </c>
      <c r="J189" s="529">
        <f>IFERROR(VLOOKUP($B189,'3.Tasks'!$BK$4:$BO$23,3,FALSE),0)</f>
        <v>0</v>
      </c>
      <c r="K189" s="529">
        <f t="shared" si="30"/>
        <v>0</v>
      </c>
      <c r="L189" s="529">
        <f>IFERROR(VLOOKUP($B189,'3.Tasks'!$BK$4:$BO$23,4,FALSE),0)</f>
        <v>0</v>
      </c>
      <c r="M189" s="529">
        <f t="shared" si="31"/>
        <v>0</v>
      </c>
      <c r="N189" s="529">
        <f>IFERROR(VLOOKUP($B189,'3.Tasks'!$BK$4:$BO$23,5,FALSE),0)</f>
        <v>0</v>
      </c>
      <c r="O189" s="529">
        <f t="shared" si="32"/>
        <v>0</v>
      </c>
      <c r="P189" s="530">
        <f t="shared" si="33"/>
        <v>0</v>
      </c>
      <c r="AJ189" s="110"/>
      <c r="AK189" s="110"/>
      <c r="AL189" s="110"/>
      <c r="AM189" s="110"/>
      <c r="AN189" s="110"/>
      <c r="AO189" s="110"/>
      <c r="AP189" s="110"/>
      <c r="AQ189" s="110"/>
      <c r="AR189" s="110"/>
      <c r="AS189" s="110"/>
      <c r="AT189" s="110"/>
      <c r="AU189" s="110"/>
      <c r="AV189" s="110"/>
      <c r="AW189" s="110"/>
      <c r="AX189" s="110"/>
      <c r="AY189" s="110"/>
      <c r="AZ189" s="110"/>
      <c r="BA189" s="110"/>
      <c r="BB189" s="110"/>
      <c r="BC189" s="110"/>
      <c r="BD189" s="110"/>
      <c r="BE189" s="110"/>
      <c r="BF189" s="110"/>
      <c r="BG189" s="110"/>
      <c r="BH189" s="110"/>
      <c r="BI189" s="110"/>
      <c r="BJ189" s="110"/>
      <c r="BK189" s="110"/>
      <c r="BL189" s="110"/>
    </row>
    <row r="190" spans="1:64">
      <c r="A190" s="527" t="s">
        <v>702</v>
      </c>
      <c r="B190" s="527" t="s">
        <v>836</v>
      </c>
      <c r="C190" s="527" t="s">
        <v>36</v>
      </c>
      <c r="D190" s="527" t="s">
        <v>0</v>
      </c>
      <c r="E190" s="525" t="s">
        <v>39</v>
      </c>
      <c r="F190" s="526">
        <f>IFERROR(HLOOKUP(C190,'4.Team'!$CI$33:$DB$47,VLOOKUP(A190,$A$705:$B$714,2,FALSE),FALSE),0)</f>
        <v>0</v>
      </c>
      <c r="G190" s="526">
        <f t="shared" si="28"/>
        <v>0</v>
      </c>
      <c r="H190" s="525">
        <f>IFERROR(VLOOKUP($B190,'3.Tasks'!$BK$4:$BO$23,2,FALSE),0)</f>
        <v>0</v>
      </c>
      <c r="I190" s="529">
        <f t="shared" si="29"/>
        <v>0</v>
      </c>
      <c r="J190" s="529">
        <f>IFERROR(VLOOKUP($B190,'3.Tasks'!$BK$4:$BO$23,3,FALSE),0)</f>
        <v>0</v>
      </c>
      <c r="K190" s="529">
        <f t="shared" si="30"/>
        <v>0</v>
      </c>
      <c r="L190" s="529">
        <f>IFERROR(VLOOKUP($B190,'3.Tasks'!$BK$4:$BO$23,4,FALSE),0)</f>
        <v>0</v>
      </c>
      <c r="M190" s="529">
        <f t="shared" si="31"/>
        <v>0</v>
      </c>
      <c r="N190" s="529">
        <f>IFERROR(VLOOKUP($B190,'3.Tasks'!$BK$4:$BO$23,5,FALSE),0)</f>
        <v>0</v>
      </c>
      <c r="O190" s="529">
        <f t="shared" si="32"/>
        <v>0</v>
      </c>
      <c r="P190" s="530">
        <f t="shared" si="33"/>
        <v>0</v>
      </c>
      <c r="AJ190" s="110"/>
      <c r="AK190" s="110"/>
      <c r="AL190" s="110"/>
      <c r="AM190" s="110"/>
      <c r="AN190" s="110"/>
      <c r="AO190" s="110"/>
      <c r="AP190" s="110"/>
      <c r="AQ190" s="110"/>
      <c r="AR190" s="110"/>
      <c r="AS190" s="110"/>
      <c r="AT190" s="110"/>
      <c r="AU190" s="110"/>
      <c r="AV190" s="110"/>
      <c r="AW190" s="110"/>
      <c r="AX190" s="110"/>
      <c r="AY190" s="110"/>
      <c r="AZ190" s="110"/>
      <c r="BA190" s="110"/>
      <c r="BB190" s="110"/>
      <c r="BC190" s="110"/>
      <c r="BD190" s="110"/>
      <c r="BE190" s="110"/>
      <c r="BF190" s="110"/>
      <c r="BG190" s="110"/>
      <c r="BH190" s="110"/>
      <c r="BI190" s="110"/>
      <c r="BJ190" s="110"/>
      <c r="BK190" s="110"/>
      <c r="BL190" s="110"/>
    </row>
    <row r="191" spans="1:64">
      <c r="A191" s="527" t="s">
        <v>703</v>
      </c>
      <c r="B191" s="527" t="s">
        <v>836</v>
      </c>
      <c r="C191" s="527" t="s">
        <v>36</v>
      </c>
      <c r="D191" s="527" t="s">
        <v>0</v>
      </c>
      <c r="E191" s="525" t="s">
        <v>39</v>
      </c>
      <c r="F191" s="526">
        <f>IFERROR(HLOOKUP(C191,'4.Team'!$CI$33:$DB$47,VLOOKUP(A191,$A$705:$B$714,2,FALSE),FALSE),0)</f>
        <v>0</v>
      </c>
      <c r="G191" s="526">
        <f t="shared" si="28"/>
        <v>0</v>
      </c>
      <c r="H191" s="525">
        <f>IFERROR(VLOOKUP($B191,'3.Tasks'!$BK$4:$BO$23,2,FALSE),0)</f>
        <v>0</v>
      </c>
      <c r="I191" s="529">
        <f t="shared" si="29"/>
        <v>0</v>
      </c>
      <c r="J191" s="529">
        <f>IFERROR(VLOOKUP($B191,'3.Tasks'!$BK$4:$BO$23,3,FALSE),0)</f>
        <v>0</v>
      </c>
      <c r="K191" s="529">
        <f t="shared" si="30"/>
        <v>0</v>
      </c>
      <c r="L191" s="529">
        <f>IFERROR(VLOOKUP($B191,'3.Tasks'!$BK$4:$BO$23,4,FALSE),0)</f>
        <v>0</v>
      </c>
      <c r="M191" s="529">
        <f t="shared" si="31"/>
        <v>0</v>
      </c>
      <c r="N191" s="529">
        <f>IFERROR(VLOOKUP($B191,'3.Tasks'!$BK$4:$BO$23,5,FALSE),0)</f>
        <v>0</v>
      </c>
      <c r="O191" s="529">
        <f t="shared" si="32"/>
        <v>0</v>
      </c>
      <c r="P191" s="530">
        <f t="shared" si="33"/>
        <v>0</v>
      </c>
      <c r="AJ191" s="110"/>
      <c r="AK191" s="110"/>
      <c r="AL191" s="110"/>
      <c r="AM191" s="110"/>
      <c r="AN191" s="110"/>
      <c r="AO191" s="110"/>
      <c r="AP191" s="110"/>
      <c r="AQ191" s="110"/>
      <c r="AR191" s="110"/>
      <c r="AS191" s="110"/>
      <c r="AT191" s="110"/>
      <c r="AU191" s="110"/>
      <c r="AV191" s="110"/>
      <c r="AW191" s="110"/>
      <c r="AX191" s="110"/>
      <c r="AY191" s="110"/>
      <c r="AZ191" s="110"/>
      <c r="BA191" s="110"/>
      <c r="BB191" s="110"/>
      <c r="BC191" s="110"/>
      <c r="BD191" s="110"/>
      <c r="BE191" s="110"/>
      <c r="BF191" s="110"/>
      <c r="BG191" s="110"/>
      <c r="BH191" s="110"/>
      <c r="BI191" s="110"/>
      <c r="BJ191" s="110"/>
      <c r="BK191" s="110"/>
      <c r="BL191" s="110"/>
    </row>
    <row r="192" spans="1:64">
      <c r="A192" s="527" t="s">
        <v>694</v>
      </c>
      <c r="B192" s="527" t="s">
        <v>837</v>
      </c>
      <c r="C192" s="527" t="s">
        <v>37</v>
      </c>
      <c r="D192" s="527" t="s">
        <v>0</v>
      </c>
      <c r="E192" s="525" t="s">
        <v>39</v>
      </c>
      <c r="F192" s="526">
        <f>IFERROR(HLOOKUP(C192,'4.Team'!$CI$33:$DB$47,VLOOKUP(A192,$A$705:$B$714,2,FALSE),FALSE),0)</f>
        <v>0</v>
      </c>
      <c r="G192" s="526">
        <f t="shared" si="28"/>
        <v>0</v>
      </c>
      <c r="H192" s="525">
        <f>IFERROR(VLOOKUP($B192,'3.Tasks'!$BK$4:$BO$23,2,FALSE),0)</f>
        <v>0</v>
      </c>
      <c r="I192" s="529">
        <f t="shared" si="29"/>
        <v>0</v>
      </c>
      <c r="J192" s="529">
        <f>IFERROR(VLOOKUP($B192,'3.Tasks'!$BK$4:$BO$23,3,FALSE),0)</f>
        <v>0</v>
      </c>
      <c r="K192" s="529">
        <f t="shared" si="30"/>
        <v>0</v>
      </c>
      <c r="L192" s="529">
        <f>IFERROR(VLOOKUP($B192,'3.Tasks'!$BK$4:$BO$23,4,FALSE),0)</f>
        <v>0</v>
      </c>
      <c r="M192" s="529">
        <f t="shared" si="31"/>
        <v>0</v>
      </c>
      <c r="N192" s="529">
        <f>IFERROR(VLOOKUP($B192,'3.Tasks'!$BK$4:$BO$23,5,FALSE),0)</f>
        <v>0</v>
      </c>
      <c r="O192" s="529">
        <f t="shared" si="32"/>
        <v>0</v>
      </c>
      <c r="P192" s="530">
        <f t="shared" si="33"/>
        <v>0</v>
      </c>
      <c r="AJ192" s="110"/>
      <c r="AK192" s="110"/>
      <c r="AL192" s="110"/>
      <c r="AM192" s="110"/>
      <c r="AN192" s="110"/>
      <c r="AO192" s="110"/>
      <c r="AP192" s="110"/>
      <c r="AQ192" s="110"/>
      <c r="AR192" s="110"/>
      <c r="AS192" s="110"/>
      <c r="AT192" s="110"/>
      <c r="AU192" s="110"/>
      <c r="AV192" s="110"/>
      <c r="AW192" s="110"/>
      <c r="AX192" s="110"/>
      <c r="AY192" s="110"/>
      <c r="AZ192" s="110"/>
      <c r="BA192" s="110"/>
      <c r="BB192" s="110"/>
      <c r="BC192" s="110"/>
      <c r="BD192" s="110"/>
      <c r="BE192" s="110"/>
      <c r="BF192" s="110"/>
      <c r="BG192" s="110"/>
      <c r="BH192" s="110"/>
      <c r="BI192" s="110"/>
      <c r="BJ192" s="110"/>
      <c r="BK192" s="110"/>
      <c r="BL192" s="110"/>
    </row>
    <row r="193" spans="1:64">
      <c r="A193" s="527" t="s">
        <v>695</v>
      </c>
      <c r="B193" s="527" t="s">
        <v>837</v>
      </c>
      <c r="C193" s="527" t="s">
        <v>37</v>
      </c>
      <c r="D193" s="527" t="s">
        <v>0</v>
      </c>
      <c r="E193" s="525" t="s">
        <v>39</v>
      </c>
      <c r="F193" s="526">
        <f>IFERROR(HLOOKUP(C193,'4.Team'!$CI$33:$DB$47,VLOOKUP(A193,$A$705:$B$714,2,FALSE),FALSE),0)</f>
        <v>0</v>
      </c>
      <c r="G193" s="526">
        <f t="shared" si="28"/>
        <v>0</v>
      </c>
      <c r="H193" s="525">
        <f>IFERROR(VLOOKUP($B193,'3.Tasks'!$BK$4:$BO$23,2,FALSE),0)</f>
        <v>0</v>
      </c>
      <c r="I193" s="529">
        <f t="shared" si="29"/>
        <v>0</v>
      </c>
      <c r="J193" s="529">
        <f>IFERROR(VLOOKUP($B193,'3.Tasks'!$BK$4:$BO$23,3,FALSE),0)</f>
        <v>0</v>
      </c>
      <c r="K193" s="529">
        <f t="shared" si="30"/>
        <v>0</v>
      </c>
      <c r="L193" s="529">
        <f>IFERROR(VLOOKUP($B193,'3.Tasks'!$BK$4:$BO$23,4,FALSE),0)</f>
        <v>0</v>
      </c>
      <c r="M193" s="529">
        <f t="shared" si="31"/>
        <v>0</v>
      </c>
      <c r="N193" s="529">
        <f>IFERROR(VLOOKUP($B193,'3.Tasks'!$BK$4:$BO$23,5,FALSE),0)</f>
        <v>0</v>
      </c>
      <c r="O193" s="529">
        <f t="shared" si="32"/>
        <v>0</v>
      </c>
      <c r="P193" s="530">
        <f t="shared" si="33"/>
        <v>0</v>
      </c>
      <c r="AJ193" s="110"/>
      <c r="AK193" s="110"/>
      <c r="AL193" s="110"/>
      <c r="AM193" s="110"/>
      <c r="AN193" s="110"/>
      <c r="AO193" s="110"/>
      <c r="AP193" s="110"/>
      <c r="AQ193" s="110"/>
      <c r="AR193" s="110"/>
      <c r="AS193" s="110"/>
      <c r="AT193" s="110"/>
      <c r="AU193" s="110"/>
      <c r="AV193" s="110"/>
      <c r="AW193" s="110"/>
      <c r="AX193" s="110"/>
      <c r="AY193" s="110"/>
      <c r="AZ193" s="110"/>
      <c r="BA193" s="110"/>
      <c r="BB193" s="110"/>
      <c r="BC193" s="110"/>
      <c r="BD193" s="110"/>
      <c r="BE193" s="110"/>
      <c r="BF193" s="110"/>
      <c r="BG193" s="110"/>
      <c r="BH193" s="110"/>
      <c r="BI193" s="110"/>
      <c r="BJ193" s="110"/>
      <c r="BK193" s="110"/>
      <c r="BL193" s="110"/>
    </row>
    <row r="194" spans="1:64">
      <c r="A194" s="527" t="s">
        <v>696</v>
      </c>
      <c r="B194" s="527" t="s">
        <v>837</v>
      </c>
      <c r="C194" s="527" t="s">
        <v>37</v>
      </c>
      <c r="D194" s="527" t="s">
        <v>0</v>
      </c>
      <c r="E194" s="525" t="s">
        <v>39</v>
      </c>
      <c r="F194" s="526">
        <f>IFERROR(HLOOKUP(C194,'4.Team'!$CI$33:$DB$47,VLOOKUP(A194,$A$705:$B$714,2,FALSE),FALSE),0)</f>
        <v>0</v>
      </c>
      <c r="G194" s="526">
        <f t="shared" si="28"/>
        <v>0</v>
      </c>
      <c r="H194" s="525">
        <f>IFERROR(VLOOKUP($B194,'3.Tasks'!$BK$4:$BO$23,2,FALSE),0)</f>
        <v>0</v>
      </c>
      <c r="I194" s="529">
        <f t="shared" si="29"/>
        <v>0</v>
      </c>
      <c r="J194" s="529">
        <f>IFERROR(VLOOKUP($B194,'3.Tasks'!$BK$4:$BO$23,3,FALSE),0)</f>
        <v>0</v>
      </c>
      <c r="K194" s="529">
        <f t="shared" si="30"/>
        <v>0</v>
      </c>
      <c r="L194" s="529">
        <f>IFERROR(VLOOKUP($B194,'3.Tasks'!$BK$4:$BO$23,4,FALSE),0)</f>
        <v>0</v>
      </c>
      <c r="M194" s="529">
        <f t="shared" si="31"/>
        <v>0</v>
      </c>
      <c r="N194" s="529">
        <f>IFERROR(VLOOKUP($B194,'3.Tasks'!$BK$4:$BO$23,5,FALSE),0)</f>
        <v>0</v>
      </c>
      <c r="O194" s="529">
        <f t="shared" si="32"/>
        <v>0</v>
      </c>
      <c r="P194" s="530">
        <f t="shared" si="33"/>
        <v>0</v>
      </c>
      <c r="AJ194" s="110"/>
      <c r="AK194" s="110"/>
      <c r="AL194" s="110"/>
      <c r="AM194" s="110"/>
      <c r="AN194" s="110"/>
      <c r="AO194" s="110"/>
      <c r="AP194" s="110"/>
      <c r="AQ194" s="110"/>
      <c r="AR194" s="110"/>
      <c r="AS194" s="110"/>
      <c r="AT194" s="110"/>
      <c r="AU194" s="110"/>
      <c r="AV194" s="110"/>
      <c r="AW194" s="110"/>
      <c r="AX194" s="110"/>
      <c r="AY194" s="110"/>
      <c r="AZ194" s="110"/>
      <c r="BA194" s="110"/>
      <c r="BB194" s="110"/>
      <c r="BC194" s="110"/>
      <c r="BD194" s="110"/>
      <c r="BE194" s="110"/>
      <c r="BF194" s="110"/>
      <c r="BG194" s="110"/>
      <c r="BH194" s="110"/>
      <c r="BI194" s="110"/>
      <c r="BJ194" s="110"/>
      <c r="BK194" s="110"/>
      <c r="BL194" s="110"/>
    </row>
    <row r="195" spans="1:64">
      <c r="A195" s="527" t="s">
        <v>697</v>
      </c>
      <c r="B195" s="527" t="s">
        <v>837</v>
      </c>
      <c r="C195" s="527" t="s">
        <v>37</v>
      </c>
      <c r="D195" s="527" t="s">
        <v>0</v>
      </c>
      <c r="E195" s="525" t="s">
        <v>39</v>
      </c>
      <c r="F195" s="526">
        <f>IFERROR(HLOOKUP(C195,'4.Team'!$CI$33:$DB$47,VLOOKUP(A195,$A$705:$B$714,2,FALSE),FALSE),0)</f>
        <v>0</v>
      </c>
      <c r="G195" s="526">
        <f t="shared" ref="G195:G258" si="34">IFERROR((H195+J195+L195+N195),0)</f>
        <v>0</v>
      </c>
      <c r="H195" s="525">
        <f>IFERROR(VLOOKUP($B195,'3.Tasks'!$BK$4:$BO$23,2,FALSE),0)</f>
        <v>0</v>
      </c>
      <c r="I195" s="529">
        <f t="shared" ref="I195:I201" si="35">IFERROR(($F195/$G195*H195),0)</f>
        <v>0</v>
      </c>
      <c r="J195" s="529">
        <f>IFERROR(VLOOKUP($B195,'3.Tasks'!$BK$4:$BO$23,3,FALSE),0)</f>
        <v>0</v>
      </c>
      <c r="K195" s="529">
        <f t="shared" ref="K195:K201" si="36">IFERROR(($F195/$G195*J195),0)</f>
        <v>0</v>
      </c>
      <c r="L195" s="529">
        <f>IFERROR(VLOOKUP($B195,'3.Tasks'!$BK$4:$BO$23,4,FALSE),0)</f>
        <v>0</v>
      </c>
      <c r="M195" s="529">
        <f t="shared" ref="M195:M201" si="37">IFERROR(($F195/$G195*L195),0)</f>
        <v>0</v>
      </c>
      <c r="N195" s="529">
        <f>IFERROR(VLOOKUP($B195,'3.Tasks'!$BK$4:$BO$23,5,FALSE),0)</f>
        <v>0</v>
      </c>
      <c r="O195" s="529">
        <f t="shared" ref="O195:O201" si="38">IFERROR(($F195/$G195*N195),0)</f>
        <v>0</v>
      </c>
      <c r="P195" s="530">
        <f t="shared" ref="P195:P258" si="39">+F195-I195-K195-M195-O195</f>
        <v>0</v>
      </c>
      <c r="AJ195" s="110"/>
      <c r="AK195" s="110"/>
      <c r="AL195" s="110"/>
      <c r="AM195" s="110"/>
      <c r="AN195" s="110"/>
      <c r="AO195" s="110"/>
      <c r="AP195" s="110"/>
      <c r="AQ195" s="110"/>
      <c r="AR195" s="110"/>
      <c r="AS195" s="110"/>
      <c r="AT195" s="110"/>
      <c r="AU195" s="110"/>
      <c r="AV195" s="110"/>
      <c r="AW195" s="110"/>
      <c r="AX195" s="110"/>
      <c r="AY195" s="110"/>
      <c r="AZ195" s="110"/>
      <c r="BA195" s="110"/>
      <c r="BB195" s="110"/>
      <c r="BC195" s="110"/>
      <c r="BD195" s="110"/>
      <c r="BE195" s="110"/>
      <c r="BF195" s="110"/>
      <c r="BG195" s="110"/>
      <c r="BH195" s="110"/>
      <c r="BI195" s="110"/>
      <c r="BJ195" s="110"/>
      <c r="BK195" s="110"/>
      <c r="BL195" s="110"/>
    </row>
    <row r="196" spans="1:64">
      <c r="A196" s="527" t="s">
        <v>698</v>
      </c>
      <c r="B196" s="527" t="s">
        <v>837</v>
      </c>
      <c r="C196" s="527" t="s">
        <v>37</v>
      </c>
      <c r="D196" s="527" t="s">
        <v>0</v>
      </c>
      <c r="E196" s="525" t="s">
        <v>39</v>
      </c>
      <c r="F196" s="526">
        <f>IFERROR(HLOOKUP(C196,'4.Team'!$CI$33:$DB$47,VLOOKUP(A196,$A$705:$B$714,2,FALSE),FALSE),0)</f>
        <v>0</v>
      </c>
      <c r="G196" s="526">
        <f t="shared" si="34"/>
        <v>0</v>
      </c>
      <c r="H196" s="525">
        <f>IFERROR(VLOOKUP($B196,'3.Tasks'!$BK$4:$BO$23,2,FALSE),0)</f>
        <v>0</v>
      </c>
      <c r="I196" s="529">
        <f t="shared" si="35"/>
        <v>0</v>
      </c>
      <c r="J196" s="529">
        <f>IFERROR(VLOOKUP($B196,'3.Tasks'!$BK$4:$BO$23,3,FALSE),0)</f>
        <v>0</v>
      </c>
      <c r="K196" s="529">
        <f t="shared" si="36"/>
        <v>0</v>
      </c>
      <c r="L196" s="529">
        <f>IFERROR(VLOOKUP($B196,'3.Tasks'!$BK$4:$BO$23,4,FALSE),0)</f>
        <v>0</v>
      </c>
      <c r="M196" s="529">
        <f t="shared" si="37"/>
        <v>0</v>
      </c>
      <c r="N196" s="529">
        <f>IFERROR(VLOOKUP($B196,'3.Tasks'!$BK$4:$BO$23,5,FALSE),0)</f>
        <v>0</v>
      </c>
      <c r="O196" s="529">
        <f t="shared" si="38"/>
        <v>0</v>
      </c>
      <c r="P196" s="530">
        <f t="shared" si="39"/>
        <v>0</v>
      </c>
      <c r="AJ196" s="110"/>
      <c r="AK196" s="110"/>
      <c r="AL196" s="110"/>
      <c r="AM196" s="110"/>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row>
    <row r="197" spans="1:64">
      <c r="A197" s="527" t="s">
        <v>699</v>
      </c>
      <c r="B197" s="527" t="s">
        <v>837</v>
      </c>
      <c r="C197" s="527" t="s">
        <v>37</v>
      </c>
      <c r="D197" s="527" t="s">
        <v>0</v>
      </c>
      <c r="E197" s="525" t="s">
        <v>39</v>
      </c>
      <c r="F197" s="526">
        <f>IFERROR(HLOOKUP(C197,'4.Team'!$CI$33:$DB$47,VLOOKUP(A197,$A$705:$B$714,2,FALSE),FALSE),0)</f>
        <v>0</v>
      </c>
      <c r="G197" s="526">
        <f t="shared" si="34"/>
        <v>0</v>
      </c>
      <c r="H197" s="525">
        <f>IFERROR(VLOOKUP($B197,'3.Tasks'!$BK$4:$BO$23,2,FALSE),0)</f>
        <v>0</v>
      </c>
      <c r="I197" s="529">
        <f t="shared" si="35"/>
        <v>0</v>
      </c>
      <c r="J197" s="529">
        <f>IFERROR(VLOOKUP($B197,'3.Tasks'!$BK$4:$BO$23,3,FALSE),0)</f>
        <v>0</v>
      </c>
      <c r="K197" s="529">
        <f t="shared" si="36"/>
        <v>0</v>
      </c>
      <c r="L197" s="529">
        <f>IFERROR(VLOOKUP($B197,'3.Tasks'!$BK$4:$BO$23,4,FALSE),0)</f>
        <v>0</v>
      </c>
      <c r="M197" s="529">
        <f t="shared" si="37"/>
        <v>0</v>
      </c>
      <c r="N197" s="529">
        <f>IFERROR(VLOOKUP($B197,'3.Tasks'!$BK$4:$BO$23,5,FALSE),0)</f>
        <v>0</v>
      </c>
      <c r="O197" s="529">
        <f t="shared" si="38"/>
        <v>0</v>
      </c>
      <c r="P197" s="530">
        <f t="shared" si="39"/>
        <v>0</v>
      </c>
      <c r="AJ197" s="110"/>
      <c r="AK197" s="110"/>
      <c r="AL197" s="110"/>
      <c r="AM197" s="110"/>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row>
    <row r="198" spans="1:64">
      <c r="A198" s="527" t="s">
        <v>700</v>
      </c>
      <c r="B198" s="527" t="s">
        <v>837</v>
      </c>
      <c r="C198" s="527" t="s">
        <v>37</v>
      </c>
      <c r="D198" s="527" t="s">
        <v>0</v>
      </c>
      <c r="E198" s="525" t="s">
        <v>39</v>
      </c>
      <c r="F198" s="526">
        <f>IFERROR(HLOOKUP(C198,'4.Team'!$CI$33:$DB$47,VLOOKUP(A198,$A$705:$B$714,2,FALSE),FALSE),0)</f>
        <v>0</v>
      </c>
      <c r="G198" s="526">
        <f t="shared" si="34"/>
        <v>0</v>
      </c>
      <c r="H198" s="525">
        <f>IFERROR(VLOOKUP($B198,'3.Tasks'!$BK$4:$BO$23,2,FALSE),0)</f>
        <v>0</v>
      </c>
      <c r="I198" s="529">
        <f t="shared" si="35"/>
        <v>0</v>
      </c>
      <c r="J198" s="529">
        <f>IFERROR(VLOOKUP($B198,'3.Tasks'!$BK$4:$BO$23,3,FALSE),0)</f>
        <v>0</v>
      </c>
      <c r="K198" s="529">
        <f t="shared" si="36"/>
        <v>0</v>
      </c>
      <c r="L198" s="529">
        <f>IFERROR(VLOOKUP($B198,'3.Tasks'!$BK$4:$BO$23,4,FALSE),0)</f>
        <v>0</v>
      </c>
      <c r="M198" s="529">
        <f t="shared" si="37"/>
        <v>0</v>
      </c>
      <c r="N198" s="529">
        <f>IFERROR(VLOOKUP($B198,'3.Tasks'!$BK$4:$BO$23,5,FALSE),0)</f>
        <v>0</v>
      </c>
      <c r="O198" s="529">
        <f t="shared" si="38"/>
        <v>0</v>
      </c>
      <c r="P198" s="530">
        <f t="shared" si="39"/>
        <v>0</v>
      </c>
      <c r="AJ198" s="110"/>
      <c r="AK198" s="110"/>
      <c r="AL198" s="110"/>
      <c r="AM198" s="110"/>
      <c r="AN198" s="110"/>
      <c r="AO198" s="110"/>
      <c r="AP198" s="110"/>
      <c r="AQ198" s="110"/>
      <c r="AR198" s="110"/>
      <c r="AS198" s="110"/>
      <c r="AT198" s="110"/>
      <c r="AU198" s="110"/>
      <c r="AV198" s="110"/>
      <c r="AW198" s="110"/>
      <c r="AX198" s="110"/>
      <c r="AY198" s="110"/>
      <c r="AZ198" s="110"/>
      <c r="BA198" s="110"/>
      <c r="BB198" s="110"/>
      <c r="BC198" s="110"/>
      <c r="BD198" s="110"/>
      <c r="BE198" s="110"/>
      <c r="BF198" s="110"/>
      <c r="BG198" s="110"/>
      <c r="BH198" s="110"/>
      <c r="BI198" s="110"/>
      <c r="BJ198" s="110"/>
      <c r="BK198" s="110"/>
      <c r="BL198" s="110"/>
    </row>
    <row r="199" spans="1:64">
      <c r="A199" s="527" t="s">
        <v>701</v>
      </c>
      <c r="B199" s="527" t="s">
        <v>837</v>
      </c>
      <c r="C199" s="527" t="s">
        <v>37</v>
      </c>
      <c r="D199" s="527" t="s">
        <v>0</v>
      </c>
      <c r="E199" s="525" t="s">
        <v>39</v>
      </c>
      <c r="F199" s="526">
        <f>IFERROR(HLOOKUP(C199,'4.Team'!$CI$33:$DB$47,VLOOKUP(A199,$A$705:$B$714,2,FALSE),FALSE),0)</f>
        <v>0</v>
      </c>
      <c r="G199" s="526">
        <f t="shared" si="34"/>
        <v>0</v>
      </c>
      <c r="H199" s="525">
        <f>IFERROR(VLOOKUP($B199,'3.Tasks'!$BK$4:$BO$23,2,FALSE),0)</f>
        <v>0</v>
      </c>
      <c r="I199" s="529">
        <f t="shared" si="35"/>
        <v>0</v>
      </c>
      <c r="J199" s="529">
        <f>IFERROR(VLOOKUP($B199,'3.Tasks'!$BK$4:$BO$23,3,FALSE),0)</f>
        <v>0</v>
      </c>
      <c r="K199" s="529">
        <f t="shared" si="36"/>
        <v>0</v>
      </c>
      <c r="L199" s="529">
        <f>IFERROR(VLOOKUP($B199,'3.Tasks'!$BK$4:$BO$23,4,FALSE),0)</f>
        <v>0</v>
      </c>
      <c r="M199" s="529">
        <f t="shared" si="37"/>
        <v>0</v>
      </c>
      <c r="N199" s="529">
        <f>IFERROR(VLOOKUP($B199,'3.Tasks'!$BK$4:$BO$23,5,FALSE),0)</f>
        <v>0</v>
      </c>
      <c r="O199" s="529">
        <f t="shared" si="38"/>
        <v>0</v>
      </c>
      <c r="P199" s="530">
        <f t="shared" si="39"/>
        <v>0</v>
      </c>
      <c r="AJ199" s="110"/>
      <c r="AK199" s="110"/>
      <c r="AL199" s="110"/>
      <c r="AM199" s="110"/>
      <c r="AN199" s="110"/>
      <c r="AO199" s="110"/>
      <c r="AP199" s="110"/>
      <c r="AQ199" s="110"/>
      <c r="AR199" s="110"/>
      <c r="AS199" s="110"/>
      <c r="AT199" s="110"/>
      <c r="AU199" s="110"/>
      <c r="AV199" s="110"/>
      <c r="AW199" s="110"/>
      <c r="AX199" s="110"/>
      <c r="AY199" s="110"/>
      <c r="AZ199" s="110"/>
      <c r="BA199" s="110"/>
      <c r="BB199" s="110"/>
      <c r="BC199" s="110"/>
      <c r="BD199" s="110"/>
      <c r="BE199" s="110"/>
      <c r="BF199" s="110"/>
      <c r="BG199" s="110"/>
      <c r="BH199" s="110"/>
      <c r="BI199" s="110"/>
      <c r="BJ199" s="110"/>
      <c r="BK199" s="110"/>
      <c r="BL199" s="110"/>
    </row>
    <row r="200" spans="1:64">
      <c r="A200" s="527" t="s">
        <v>702</v>
      </c>
      <c r="B200" s="527" t="s">
        <v>837</v>
      </c>
      <c r="C200" s="527" t="s">
        <v>37</v>
      </c>
      <c r="D200" s="527" t="s">
        <v>0</v>
      </c>
      <c r="E200" s="525" t="s">
        <v>39</v>
      </c>
      <c r="F200" s="526">
        <f>IFERROR(HLOOKUP(C200,'4.Team'!$CI$33:$DB$47,VLOOKUP(A200,$A$705:$B$714,2,FALSE),FALSE),0)</f>
        <v>0</v>
      </c>
      <c r="G200" s="526">
        <f t="shared" si="34"/>
        <v>0</v>
      </c>
      <c r="H200" s="525">
        <f>IFERROR(VLOOKUP($B200,'3.Tasks'!$BK$4:$BO$23,2,FALSE),0)</f>
        <v>0</v>
      </c>
      <c r="I200" s="529">
        <f t="shared" si="35"/>
        <v>0</v>
      </c>
      <c r="J200" s="529">
        <f>IFERROR(VLOOKUP($B200,'3.Tasks'!$BK$4:$BO$23,3,FALSE),0)</f>
        <v>0</v>
      </c>
      <c r="K200" s="529">
        <f t="shared" si="36"/>
        <v>0</v>
      </c>
      <c r="L200" s="529">
        <f>IFERROR(VLOOKUP($B200,'3.Tasks'!$BK$4:$BO$23,4,FALSE),0)</f>
        <v>0</v>
      </c>
      <c r="M200" s="529">
        <f t="shared" si="37"/>
        <v>0</v>
      </c>
      <c r="N200" s="529">
        <f>IFERROR(VLOOKUP($B200,'3.Tasks'!$BK$4:$BO$23,5,FALSE),0)</f>
        <v>0</v>
      </c>
      <c r="O200" s="529">
        <f t="shared" si="38"/>
        <v>0</v>
      </c>
      <c r="P200" s="530">
        <f t="shared" si="39"/>
        <v>0</v>
      </c>
      <c r="AJ200" s="110"/>
      <c r="AK200" s="110"/>
      <c r="AL200" s="110"/>
      <c r="AM200" s="110"/>
      <c r="AN200" s="110"/>
      <c r="AO200" s="110"/>
      <c r="AP200" s="110"/>
      <c r="AQ200" s="110"/>
      <c r="AR200" s="110"/>
      <c r="AS200" s="110"/>
      <c r="AT200" s="110"/>
      <c r="AU200" s="110"/>
      <c r="AV200" s="110"/>
      <c r="AW200" s="110"/>
      <c r="AX200" s="110"/>
      <c r="AY200" s="110"/>
      <c r="AZ200" s="110"/>
      <c r="BA200" s="110"/>
      <c r="BB200" s="110"/>
      <c r="BC200" s="110"/>
      <c r="BD200" s="110"/>
      <c r="BE200" s="110"/>
      <c r="BF200" s="110"/>
      <c r="BG200" s="110"/>
      <c r="BH200" s="110"/>
      <c r="BI200" s="110"/>
      <c r="BJ200" s="110"/>
      <c r="BK200" s="110"/>
      <c r="BL200" s="110"/>
    </row>
    <row r="201" spans="1:64">
      <c r="A201" s="527" t="s">
        <v>703</v>
      </c>
      <c r="B201" s="527" t="s">
        <v>837</v>
      </c>
      <c r="C201" s="527" t="s">
        <v>37</v>
      </c>
      <c r="D201" s="527" t="s">
        <v>0</v>
      </c>
      <c r="E201" s="525" t="s">
        <v>39</v>
      </c>
      <c r="F201" s="526">
        <f>IFERROR(HLOOKUP(C201,'4.Team'!$CI$33:$DB$47,VLOOKUP(A201,$A$705:$B$714,2,FALSE),FALSE),0)</f>
        <v>0</v>
      </c>
      <c r="G201" s="526">
        <f t="shared" si="34"/>
        <v>0</v>
      </c>
      <c r="H201" s="525">
        <f>IFERROR(VLOOKUP($B201,'3.Tasks'!$BK$4:$BO$23,2,FALSE),0)</f>
        <v>0</v>
      </c>
      <c r="I201" s="529">
        <f t="shared" si="35"/>
        <v>0</v>
      </c>
      <c r="J201" s="529">
        <f>IFERROR(VLOOKUP($B201,'3.Tasks'!$BK$4:$BO$23,3,FALSE),0)</f>
        <v>0</v>
      </c>
      <c r="K201" s="529">
        <f t="shared" si="36"/>
        <v>0</v>
      </c>
      <c r="L201" s="529">
        <f>IFERROR(VLOOKUP($B201,'3.Tasks'!$BK$4:$BO$23,4,FALSE),0)</f>
        <v>0</v>
      </c>
      <c r="M201" s="529">
        <f t="shared" si="37"/>
        <v>0</v>
      </c>
      <c r="N201" s="529">
        <f>IFERROR(VLOOKUP($B201,'3.Tasks'!$BK$4:$BO$23,5,FALSE),0)</f>
        <v>0</v>
      </c>
      <c r="O201" s="529">
        <f t="shared" si="38"/>
        <v>0</v>
      </c>
      <c r="P201" s="530">
        <f t="shared" si="39"/>
        <v>0</v>
      </c>
      <c r="AJ201" s="110"/>
      <c r="AK201" s="110"/>
      <c r="AL201" s="110"/>
      <c r="AM201" s="110"/>
      <c r="AN201" s="110"/>
      <c r="AO201" s="110"/>
      <c r="AP201" s="110"/>
      <c r="AQ201" s="110"/>
      <c r="AR201" s="110"/>
      <c r="AS201" s="110"/>
      <c r="AT201" s="110"/>
      <c r="AU201" s="110"/>
      <c r="AV201" s="110"/>
      <c r="AW201" s="110"/>
      <c r="AX201" s="110"/>
      <c r="AY201" s="110"/>
      <c r="AZ201" s="110"/>
      <c r="BA201" s="110"/>
      <c r="BB201" s="110"/>
      <c r="BC201" s="110"/>
      <c r="BD201" s="110"/>
      <c r="BE201" s="110"/>
      <c r="BF201" s="110"/>
      <c r="BG201" s="110"/>
      <c r="BH201" s="110"/>
      <c r="BI201" s="110"/>
      <c r="BJ201" s="110"/>
      <c r="BK201" s="110"/>
      <c r="BL201" s="110"/>
    </row>
    <row r="202" spans="1:64">
      <c r="A202" s="529">
        <v>1</v>
      </c>
      <c r="B202" s="529" t="s">
        <v>818</v>
      </c>
      <c r="C202" s="529" t="s">
        <v>18</v>
      </c>
      <c r="D202" s="529" t="str">
        <f>VLOOKUP(A202,Tabela8[[No.]:[Institution**]],9,FALSE)</f>
        <v>FCiências.ID</v>
      </c>
      <c r="E202" s="531" t="s">
        <v>41</v>
      </c>
      <c r="F202" s="529">
        <f>HLOOKUP(C202,'5.Equipments'!$AJ$2:$BC$22,2,FALSE)</f>
        <v>0</v>
      </c>
      <c r="G202" s="526">
        <f t="shared" si="34"/>
        <v>0</v>
      </c>
      <c r="H202" s="525">
        <f>IFERROR(VLOOKUP($B202,'3.Tasks'!$BK$4:$BO$23,2,FALSE),0)</f>
        <v>0</v>
      </c>
      <c r="I202" s="529">
        <f>+F202</f>
        <v>0</v>
      </c>
      <c r="J202" s="529">
        <f>IFERROR(VLOOKUP($B202,'3.Tasks'!$BK$4:$BO$23,3,FALSE),0)</f>
        <v>0</v>
      </c>
      <c r="K202" s="532">
        <v>0</v>
      </c>
      <c r="L202" s="529">
        <f>IFERROR(VLOOKUP($B202,'3.Tasks'!$BK$4:$BO$23,4,FALSE),0)</f>
        <v>0</v>
      </c>
      <c r="M202" s="532">
        <v>0</v>
      </c>
      <c r="N202" s="529">
        <f>IFERROR(VLOOKUP($B202,'3.Tasks'!$BK$4:$BO$23,5,FALSE),0)</f>
        <v>0</v>
      </c>
      <c r="O202" s="532">
        <v>0</v>
      </c>
      <c r="P202" s="530">
        <f t="shared" si="39"/>
        <v>0</v>
      </c>
      <c r="AJ202" s="110"/>
      <c r="AK202" s="110"/>
      <c r="AL202" s="110"/>
      <c r="AM202" s="110"/>
      <c r="AN202" s="110"/>
      <c r="AO202" s="110"/>
      <c r="AP202" s="110"/>
      <c r="AQ202" s="110"/>
      <c r="AR202" s="110"/>
      <c r="AS202" s="110"/>
      <c r="AT202" s="110"/>
      <c r="AU202" s="110"/>
      <c r="AV202" s="110"/>
      <c r="AW202" s="110"/>
      <c r="AX202" s="110"/>
      <c r="AY202" s="110"/>
      <c r="AZ202" s="110"/>
      <c r="BA202" s="110"/>
      <c r="BB202" s="110"/>
      <c r="BC202" s="110"/>
      <c r="BD202" s="110"/>
      <c r="BE202" s="110"/>
      <c r="BF202" s="110"/>
      <c r="BG202" s="110"/>
      <c r="BH202" s="110"/>
      <c r="BI202" s="110"/>
      <c r="BJ202" s="110"/>
      <c r="BK202" s="110"/>
      <c r="BL202" s="110"/>
    </row>
    <row r="203" spans="1:64">
      <c r="A203" s="529">
        <f>+A202</f>
        <v>1</v>
      </c>
      <c r="B203" s="529" t="s">
        <v>819</v>
      </c>
      <c r="C203" s="529" t="s">
        <v>19</v>
      </c>
      <c r="D203" s="529" t="str">
        <f>VLOOKUP(A203,Tabela8[[No.]:[Institution**]],9,FALSE)</f>
        <v>FCiências.ID</v>
      </c>
      <c r="E203" s="531" t="s">
        <v>41</v>
      </c>
      <c r="F203" s="529">
        <f>HLOOKUP(C203,'5.Equipments'!$AJ$2:$BC$22,2,FALSE)</f>
        <v>0</v>
      </c>
      <c r="G203" s="526">
        <f t="shared" si="34"/>
        <v>0</v>
      </c>
      <c r="H203" s="525">
        <f>IFERROR(VLOOKUP($B203,'3.Tasks'!$BK$4:$BO$23,2,FALSE),0)</f>
        <v>0</v>
      </c>
      <c r="I203" s="529">
        <f t="shared" ref="I203:I266" si="40">+F203</f>
        <v>0</v>
      </c>
      <c r="J203" s="529">
        <f>IFERROR(VLOOKUP($B203,'3.Tasks'!$BK$4:$BO$23,3,FALSE),0)</f>
        <v>0</v>
      </c>
      <c r="K203" s="532">
        <v>0</v>
      </c>
      <c r="L203" s="529">
        <f>IFERROR(VLOOKUP($B203,'3.Tasks'!$BK$4:$BO$23,4,FALSE),0)</f>
        <v>0</v>
      </c>
      <c r="M203" s="532">
        <v>0</v>
      </c>
      <c r="N203" s="529">
        <f>IFERROR(VLOOKUP($B203,'3.Tasks'!$BK$4:$BO$23,5,FALSE),0)</f>
        <v>0</v>
      </c>
      <c r="O203" s="532">
        <v>0</v>
      </c>
      <c r="P203" s="530">
        <f t="shared" si="39"/>
        <v>0</v>
      </c>
      <c r="AJ203" s="110"/>
      <c r="AK203" s="110"/>
      <c r="AL203" s="110"/>
      <c r="AM203" s="110"/>
      <c r="AN203" s="110"/>
      <c r="AO203" s="110"/>
      <c r="AP203" s="110"/>
      <c r="AQ203" s="110"/>
      <c r="AR203" s="110"/>
      <c r="AS203" s="110"/>
      <c r="AT203" s="110"/>
      <c r="AU203" s="110"/>
      <c r="AV203" s="110"/>
      <c r="AW203" s="110"/>
      <c r="AX203" s="110"/>
      <c r="AY203" s="110"/>
      <c r="AZ203" s="110"/>
      <c r="BA203" s="110"/>
      <c r="BB203" s="110"/>
      <c r="BC203" s="110"/>
      <c r="BD203" s="110"/>
      <c r="BE203" s="110"/>
      <c r="BF203" s="110"/>
      <c r="BG203" s="110"/>
      <c r="BH203" s="110"/>
      <c r="BI203" s="110"/>
      <c r="BJ203" s="110"/>
      <c r="BK203" s="110"/>
      <c r="BL203" s="110"/>
    </row>
    <row r="204" spans="1:64">
      <c r="A204" s="529">
        <f t="shared" ref="A204:A221" si="41">+A203</f>
        <v>1</v>
      </c>
      <c r="B204" s="529" t="s">
        <v>820</v>
      </c>
      <c r="C204" s="529" t="s">
        <v>20</v>
      </c>
      <c r="D204" s="529" t="str">
        <f>VLOOKUP(A204,Tabela8[[No.]:[Institution**]],9,FALSE)</f>
        <v>FCiências.ID</v>
      </c>
      <c r="E204" s="531" t="s">
        <v>41</v>
      </c>
      <c r="F204" s="529">
        <f>HLOOKUP(C204,'5.Equipments'!$AJ$2:$BC$22,2,FALSE)</f>
        <v>0</v>
      </c>
      <c r="G204" s="526">
        <f t="shared" si="34"/>
        <v>0</v>
      </c>
      <c r="H204" s="525">
        <f>IFERROR(VLOOKUP($B204,'3.Tasks'!$BK$4:$BO$23,2,FALSE),0)</f>
        <v>0</v>
      </c>
      <c r="I204" s="529">
        <f t="shared" si="40"/>
        <v>0</v>
      </c>
      <c r="J204" s="529">
        <f>IFERROR(VLOOKUP($B204,'3.Tasks'!$BK$4:$BO$23,3,FALSE),0)</f>
        <v>0</v>
      </c>
      <c r="K204" s="532">
        <v>0</v>
      </c>
      <c r="L204" s="529">
        <f>IFERROR(VLOOKUP($B204,'3.Tasks'!$BK$4:$BO$23,4,FALSE),0)</f>
        <v>0</v>
      </c>
      <c r="M204" s="532">
        <v>0</v>
      </c>
      <c r="N204" s="529">
        <f>IFERROR(VLOOKUP($B204,'3.Tasks'!$BK$4:$BO$23,5,FALSE),0)</f>
        <v>0</v>
      </c>
      <c r="O204" s="532">
        <v>0</v>
      </c>
      <c r="P204" s="530">
        <f t="shared" si="39"/>
        <v>0</v>
      </c>
      <c r="AJ204" s="110"/>
      <c r="AK204" s="110"/>
      <c r="AL204" s="110"/>
      <c r="AM204" s="110"/>
      <c r="AN204" s="110"/>
      <c r="AO204" s="110"/>
      <c r="AP204" s="110"/>
      <c r="AQ204" s="110"/>
      <c r="AR204" s="110"/>
      <c r="AS204" s="110"/>
      <c r="AT204" s="110"/>
      <c r="AU204" s="110"/>
      <c r="AV204" s="110"/>
      <c r="AW204" s="110"/>
      <c r="AX204" s="110"/>
      <c r="AY204" s="110"/>
      <c r="AZ204" s="110"/>
      <c r="BA204" s="110"/>
      <c r="BB204" s="110"/>
      <c r="BC204" s="110"/>
      <c r="BD204" s="110"/>
      <c r="BE204" s="110"/>
      <c r="BF204" s="110"/>
      <c r="BG204" s="110"/>
      <c r="BH204" s="110"/>
      <c r="BI204" s="110"/>
      <c r="BJ204" s="110"/>
      <c r="BK204" s="110"/>
      <c r="BL204" s="110"/>
    </row>
    <row r="205" spans="1:64">
      <c r="A205" s="529">
        <f t="shared" si="41"/>
        <v>1</v>
      </c>
      <c r="B205" s="529" t="s">
        <v>821</v>
      </c>
      <c r="C205" s="529" t="s">
        <v>21</v>
      </c>
      <c r="D205" s="529" t="str">
        <f>VLOOKUP(A205,Tabela8[[No.]:[Institution**]],9,FALSE)</f>
        <v>FCiências.ID</v>
      </c>
      <c r="E205" s="531" t="s">
        <v>41</v>
      </c>
      <c r="F205" s="529">
        <f>HLOOKUP(C205,'5.Equipments'!$AJ$2:$BC$22,2,FALSE)</f>
        <v>0</v>
      </c>
      <c r="G205" s="526">
        <f t="shared" si="34"/>
        <v>0</v>
      </c>
      <c r="H205" s="525">
        <f>IFERROR(VLOOKUP($B205,'3.Tasks'!$BK$4:$BO$23,2,FALSE),0)</f>
        <v>0</v>
      </c>
      <c r="I205" s="529">
        <f t="shared" si="40"/>
        <v>0</v>
      </c>
      <c r="J205" s="529">
        <f>IFERROR(VLOOKUP($B205,'3.Tasks'!$BK$4:$BO$23,3,FALSE),0)</f>
        <v>0</v>
      </c>
      <c r="K205" s="532">
        <v>0</v>
      </c>
      <c r="L205" s="529">
        <f>IFERROR(VLOOKUP($B205,'3.Tasks'!$BK$4:$BO$23,4,FALSE),0)</f>
        <v>0</v>
      </c>
      <c r="M205" s="532">
        <v>0</v>
      </c>
      <c r="N205" s="529">
        <f>IFERROR(VLOOKUP($B205,'3.Tasks'!$BK$4:$BO$23,5,FALSE),0)</f>
        <v>0</v>
      </c>
      <c r="O205" s="532">
        <v>0</v>
      </c>
      <c r="P205" s="530">
        <f t="shared" si="39"/>
        <v>0</v>
      </c>
      <c r="R205" s="169">
        <v>1</v>
      </c>
      <c r="AJ205" s="110"/>
      <c r="AK205" s="110"/>
      <c r="AL205" s="110"/>
      <c r="AM205" s="110"/>
      <c r="AN205" s="110"/>
      <c r="AO205" s="110"/>
      <c r="AP205" s="110"/>
      <c r="AQ205" s="110"/>
      <c r="AR205" s="110"/>
      <c r="AS205" s="110"/>
      <c r="AT205" s="110"/>
      <c r="AU205" s="110"/>
      <c r="AV205" s="110"/>
      <c r="AW205" s="110"/>
      <c r="AX205" s="110"/>
      <c r="AY205" s="110"/>
      <c r="AZ205" s="110"/>
      <c r="BA205" s="110"/>
      <c r="BB205" s="110"/>
      <c r="BC205" s="110"/>
      <c r="BD205" s="110"/>
      <c r="BE205" s="110"/>
      <c r="BF205" s="110"/>
      <c r="BG205" s="110"/>
      <c r="BH205" s="110"/>
      <c r="BI205" s="110"/>
      <c r="BJ205" s="110"/>
      <c r="BK205" s="110"/>
      <c r="BL205" s="110"/>
    </row>
    <row r="206" spans="1:64">
      <c r="A206" s="529">
        <f t="shared" si="41"/>
        <v>1</v>
      </c>
      <c r="B206" s="529" t="s">
        <v>822</v>
      </c>
      <c r="C206" s="529" t="s">
        <v>22</v>
      </c>
      <c r="D206" s="529" t="str">
        <f>VLOOKUP(A206,Tabela8[[No.]:[Institution**]],9,FALSE)</f>
        <v>FCiências.ID</v>
      </c>
      <c r="E206" s="531" t="s">
        <v>41</v>
      </c>
      <c r="F206" s="529">
        <f>HLOOKUP(C206,'5.Equipments'!$AJ$2:$BC$22,2,FALSE)</f>
        <v>0</v>
      </c>
      <c r="G206" s="526">
        <f t="shared" si="34"/>
        <v>0</v>
      </c>
      <c r="H206" s="525">
        <f>IFERROR(VLOOKUP($B206,'3.Tasks'!$BK$4:$BO$23,2,FALSE),0)</f>
        <v>0</v>
      </c>
      <c r="I206" s="529">
        <f t="shared" si="40"/>
        <v>0</v>
      </c>
      <c r="J206" s="529">
        <f>IFERROR(VLOOKUP($B206,'3.Tasks'!$BK$4:$BO$23,3,FALSE),0)</f>
        <v>0</v>
      </c>
      <c r="K206" s="532">
        <v>0</v>
      </c>
      <c r="L206" s="529">
        <f>IFERROR(VLOOKUP($B206,'3.Tasks'!$BK$4:$BO$23,4,FALSE),0)</f>
        <v>0</v>
      </c>
      <c r="M206" s="532">
        <v>0</v>
      </c>
      <c r="N206" s="529">
        <f>IFERROR(VLOOKUP($B206,'3.Tasks'!$BK$4:$BO$23,5,FALSE),0)</f>
        <v>0</v>
      </c>
      <c r="O206" s="532">
        <v>0</v>
      </c>
      <c r="P206" s="530">
        <f t="shared" si="39"/>
        <v>0</v>
      </c>
      <c r="R206" s="169">
        <v>2</v>
      </c>
      <c r="AJ206" s="110"/>
      <c r="AK206" s="110"/>
      <c r="AL206" s="110"/>
      <c r="AM206" s="110"/>
      <c r="AN206" s="110"/>
      <c r="AO206" s="110"/>
      <c r="AP206" s="110"/>
      <c r="AQ206" s="110"/>
      <c r="AR206" s="110"/>
      <c r="AS206" s="110"/>
      <c r="AT206" s="110"/>
      <c r="AU206" s="110"/>
      <c r="AV206" s="110"/>
      <c r="AW206" s="110"/>
      <c r="AX206" s="110"/>
      <c r="AY206" s="110"/>
      <c r="AZ206" s="110"/>
      <c r="BA206" s="110"/>
      <c r="BB206" s="110"/>
      <c r="BC206" s="110"/>
      <c r="BD206" s="110"/>
      <c r="BE206" s="110"/>
      <c r="BF206" s="110"/>
      <c r="BG206" s="110"/>
      <c r="BH206" s="110"/>
      <c r="BI206" s="110"/>
      <c r="BJ206" s="110"/>
      <c r="BK206" s="110"/>
      <c r="BL206" s="110"/>
    </row>
    <row r="207" spans="1:64">
      <c r="A207" s="529">
        <f t="shared" si="41"/>
        <v>1</v>
      </c>
      <c r="B207" s="529" t="s">
        <v>823</v>
      </c>
      <c r="C207" s="529" t="s">
        <v>23</v>
      </c>
      <c r="D207" s="529" t="str">
        <f>VLOOKUP(A207,Tabela8[[No.]:[Institution**]],9,FALSE)</f>
        <v>FCiências.ID</v>
      </c>
      <c r="E207" s="531" t="s">
        <v>41</v>
      </c>
      <c r="F207" s="529">
        <f>HLOOKUP(C207,'5.Equipments'!$AJ$2:$BC$22,2,FALSE)</f>
        <v>0</v>
      </c>
      <c r="G207" s="526">
        <f t="shared" si="34"/>
        <v>0</v>
      </c>
      <c r="H207" s="525">
        <f>IFERROR(VLOOKUP($B207,'3.Tasks'!$BK$4:$BO$23,2,FALSE),0)</f>
        <v>0</v>
      </c>
      <c r="I207" s="529">
        <f t="shared" si="40"/>
        <v>0</v>
      </c>
      <c r="J207" s="529">
        <f>IFERROR(VLOOKUP($B207,'3.Tasks'!$BK$4:$BO$23,3,FALSE),0)</f>
        <v>0</v>
      </c>
      <c r="K207" s="532">
        <v>0</v>
      </c>
      <c r="L207" s="529">
        <f>IFERROR(VLOOKUP($B207,'3.Tasks'!$BK$4:$BO$23,4,FALSE),0)</f>
        <v>0</v>
      </c>
      <c r="M207" s="532">
        <v>0</v>
      </c>
      <c r="N207" s="529">
        <f>IFERROR(VLOOKUP($B207,'3.Tasks'!$BK$4:$BO$23,5,FALSE),0)</f>
        <v>0</v>
      </c>
      <c r="O207" s="532">
        <v>0</v>
      </c>
      <c r="P207" s="530">
        <f t="shared" si="39"/>
        <v>0</v>
      </c>
      <c r="R207" s="169">
        <v>3</v>
      </c>
      <c r="AJ207" s="110"/>
      <c r="AK207" s="110"/>
      <c r="AL207" s="110"/>
      <c r="AM207" s="110"/>
      <c r="AN207" s="110"/>
      <c r="AO207" s="110"/>
      <c r="AP207" s="110"/>
      <c r="AQ207" s="110"/>
      <c r="AR207" s="110"/>
      <c r="AS207" s="110"/>
      <c r="AT207" s="110"/>
      <c r="AU207" s="110"/>
      <c r="AV207" s="110"/>
      <c r="AW207" s="110"/>
      <c r="AX207" s="110"/>
      <c r="AY207" s="110"/>
      <c r="AZ207" s="110"/>
      <c r="BA207" s="110"/>
      <c r="BB207" s="110"/>
      <c r="BC207" s="110"/>
      <c r="BD207" s="110"/>
      <c r="BE207" s="110"/>
      <c r="BF207" s="110"/>
      <c r="BG207" s="110"/>
      <c r="BH207" s="110"/>
      <c r="BI207" s="110"/>
      <c r="BJ207" s="110"/>
      <c r="BK207" s="110"/>
      <c r="BL207" s="110"/>
    </row>
    <row r="208" spans="1:64">
      <c r="A208" s="529">
        <f t="shared" si="41"/>
        <v>1</v>
      </c>
      <c r="B208" s="529" t="s">
        <v>824</v>
      </c>
      <c r="C208" s="529" t="s">
        <v>24</v>
      </c>
      <c r="D208" s="529" t="str">
        <f>VLOOKUP(A208,Tabela8[[No.]:[Institution**]],9,FALSE)</f>
        <v>FCiências.ID</v>
      </c>
      <c r="E208" s="531" t="s">
        <v>41</v>
      </c>
      <c r="F208" s="529">
        <f>HLOOKUP(C208,'5.Equipments'!$AJ$2:$BC$22,2,FALSE)</f>
        <v>0</v>
      </c>
      <c r="G208" s="526">
        <f t="shared" si="34"/>
        <v>0</v>
      </c>
      <c r="H208" s="525">
        <f>IFERROR(VLOOKUP($B208,'3.Tasks'!$BK$4:$BO$23,2,FALSE),0)</f>
        <v>0</v>
      </c>
      <c r="I208" s="529">
        <f t="shared" si="40"/>
        <v>0</v>
      </c>
      <c r="J208" s="529">
        <f>IFERROR(VLOOKUP($B208,'3.Tasks'!$BK$4:$BO$23,3,FALSE),0)</f>
        <v>0</v>
      </c>
      <c r="K208" s="532">
        <v>0</v>
      </c>
      <c r="L208" s="529">
        <f>IFERROR(VLOOKUP($B208,'3.Tasks'!$BK$4:$BO$23,4,FALSE),0)</f>
        <v>0</v>
      </c>
      <c r="M208" s="532">
        <v>0</v>
      </c>
      <c r="N208" s="529">
        <f>IFERROR(VLOOKUP($B208,'3.Tasks'!$BK$4:$BO$23,5,FALSE),0)</f>
        <v>0</v>
      </c>
      <c r="O208" s="532">
        <v>0</v>
      </c>
      <c r="P208" s="530">
        <f t="shared" si="39"/>
        <v>0</v>
      </c>
      <c r="R208" s="169">
        <v>4</v>
      </c>
      <c r="AJ208" s="110"/>
      <c r="AK208" s="110"/>
      <c r="AL208" s="110"/>
      <c r="AM208" s="110"/>
      <c r="AN208" s="110"/>
      <c r="AO208" s="110"/>
      <c r="AP208" s="110"/>
      <c r="AQ208" s="110"/>
      <c r="AR208" s="110"/>
      <c r="AS208" s="110"/>
      <c r="AT208" s="110"/>
      <c r="AU208" s="110"/>
      <c r="AV208" s="110"/>
      <c r="AW208" s="110"/>
      <c r="AX208" s="110"/>
      <c r="AY208" s="110"/>
      <c r="AZ208" s="110"/>
      <c r="BA208" s="110"/>
      <c r="BB208" s="110"/>
      <c r="BC208" s="110"/>
      <c r="BD208" s="110"/>
      <c r="BE208" s="110"/>
      <c r="BF208" s="110"/>
      <c r="BG208" s="110"/>
      <c r="BH208" s="110"/>
      <c r="BI208" s="110"/>
      <c r="BJ208" s="110"/>
      <c r="BK208" s="110"/>
      <c r="BL208" s="110"/>
    </row>
    <row r="209" spans="1:64">
      <c r="A209" s="529">
        <f t="shared" si="41"/>
        <v>1</v>
      </c>
      <c r="B209" s="529" t="s">
        <v>825</v>
      </c>
      <c r="C209" s="529" t="s">
        <v>25</v>
      </c>
      <c r="D209" s="529" t="str">
        <f>VLOOKUP(A209,Tabela8[[No.]:[Institution**]],9,FALSE)</f>
        <v>FCiências.ID</v>
      </c>
      <c r="E209" s="531" t="s">
        <v>41</v>
      </c>
      <c r="F209" s="529">
        <f>HLOOKUP(C209,'5.Equipments'!$AJ$2:$BC$22,2,FALSE)</f>
        <v>0</v>
      </c>
      <c r="G209" s="526">
        <f t="shared" si="34"/>
        <v>0</v>
      </c>
      <c r="H209" s="525">
        <f>IFERROR(VLOOKUP($B209,'3.Tasks'!$BK$4:$BO$23,2,FALSE),0)</f>
        <v>0</v>
      </c>
      <c r="I209" s="529">
        <f t="shared" si="40"/>
        <v>0</v>
      </c>
      <c r="J209" s="529">
        <f>IFERROR(VLOOKUP($B209,'3.Tasks'!$BK$4:$BO$23,3,FALSE),0)</f>
        <v>0</v>
      </c>
      <c r="K209" s="532">
        <v>0</v>
      </c>
      <c r="L209" s="529">
        <f>IFERROR(VLOOKUP($B209,'3.Tasks'!$BK$4:$BO$23,4,FALSE),0)</f>
        <v>0</v>
      </c>
      <c r="M209" s="532">
        <v>0</v>
      </c>
      <c r="N209" s="529">
        <f>IFERROR(VLOOKUP($B209,'3.Tasks'!$BK$4:$BO$23,5,FALSE),0)</f>
        <v>0</v>
      </c>
      <c r="O209" s="532">
        <v>0</v>
      </c>
      <c r="P209" s="530">
        <f t="shared" si="39"/>
        <v>0</v>
      </c>
      <c r="R209" s="169">
        <v>5</v>
      </c>
      <c r="AJ209" s="110"/>
      <c r="AK209" s="110"/>
      <c r="AL209" s="110"/>
      <c r="AM209" s="110"/>
      <c r="AN209" s="110"/>
      <c r="AO209" s="110"/>
      <c r="AP209" s="110"/>
      <c r="AQ209" s="110"/>
      <c r="AR209" s="110"/>
      <c r="AS209" s="110"/>
      <c r="AT209" s="110"/>
      <c r="AU209" s="110"/>
      <c r="AV209" s="110"/>
      <c r="AW209" s="110"/>
      <c r="AX209" s="110"/>
      <c r="AY209" s="110"/>
      <c r="AZ209" s="110"/>
      <c r="BA209" s="110"/>
      <c r="BB209" s="110"/>
      <c r="BC209" s="110"/>
      <c r="BD209" s="110"/>
      <c r="BE209" s="110"/>
      <c r="BF209" s="110"/>
      <c r="BG209" s="110"/>
      <c r="BH209" s="110"/>
      <c r="BI209" s="110"/>
      <c r="BJ209" s="110"/>
      <c r="BK209" s="110"/>
      <c r="BL209" s="110"/>
    </row>
    <row r="210" spans="1:64">
      <c r="A210" s="529">
        <f t="shared" si="41"/>
        <v>1</v>
      </c>
      <c r="B210" s="529" t="s">
        <v>826</v>
      </c>
      <c r="C210" s="529" t="s">
        <v>26</v>
      </c>
      <c r="D210" s="529" t="str">
        <f>VLOOKUP(A210,Tabela8[[No.]:[Institution**]],9,FALSE)</f>
        <v>FCiências.ID</v>
      </c>
      <c r="E210" s="531" t="s">
        <v>41</v>
      </c>
      <c r="F210" s="529">
        <f>HLOOKUP(C210,'5.Equipments'!$AJ$2:$BC$22,2,FALSE)</f>
        <v>0</v>
      </c>
      <c r="G210" s="526">
        <f t="shared" si="34"/>
        <v>0</v>
      </c>
      <c r="H210" s="525">
        <f>IFERROR(VLOOKUP($B210,'3.Tasks'!$BK$4:$BO$23,2,FALSE),0)</f>
        <v>0</v>
      </c>
      <c r="I210" s="529">
        <f t="shared" si="40"/>
        <v>0</v>
      </c>
      <c r="J210" s="529">
        <f>IFERROR(VLOOKUP($B210,'3.Tasks'!$BK$4:$BO$23,3,FALSE),0)</f>
        <v>0</v>
      </c>
      <c r="K210" s="532">
        <v>0</v>
      </c>
      <c r="L210" s="529">
        <f>IFERROR(VLOOKUP($B210,'3.Tasks'!$BK$4:$BO$23,4,FALSE),0)</f>
        <v>0</v>
      </c>
      <c r="M210" s="532">
        <v>0</v>
      </c>
      <c r="N210" s="529">
        <f>IFERROR(VLOOKUP($B210,'3.Tasks'!$BK$4:$BO$23,5,FALSE),0)</f>
        <v>0</v>
      </c>
      <c r="O210" s="532">
        <v>0</v>
      </c>
      <c r="P210" s="530">
        <f t="shared" si="39"/>
        <v>0</v>
      </c>
      <c r="R210" s="169">
        <v>6</v>
      </c>
      <c r="AJ210" s="110"/>
      <c r="AK210" s="110"/>
      <c r="AL210" s="110"/>
      <c r="AM210" s="110"/>
      <c r="AN210" s="110"/>
      <c r="AO210" s="110"/>
      <c r="AP210" s="110"/>
      <c r="AQ210" s="110"/>
      <c r="AR210" s="110"/>
      <c r="AS210" s="110"/>
      <c r="AT210" s="110"/>
      <c r="AU210" s="110"/>
      <c r="AV210" s="110"/>
      <c r="AW210" s="110"/>
      <c r="AX210" s="110"/>
      <c r="AY210" s="110"/>
      <c r="AZ210" s="110"/>
      <c r="BA210" s="110"/>
      <c r="BB210" s="110"/>
      <c r="BC210" s="110"/>
      <c r="BD210" s="110"/>
      <c r="BE210" s="110"/>
      <c r="BF210" s="110"/>
      <c r="BG210" s="110"/>
      <c r="BH210" s="110"/>
      <c r="BI210" s="110"/>
      <c r="BJ210" s="110"/>
      <c r="BK210" s="110"/>
      <c r="BL210" s="110"/>
    </row>
    <row r="211" spans="1:64">
      <c r="A211" s="529">
        <f t="shared" si="41"/>
        <v>1</v>
      </c>
      <c r="B211" s="529" t="s">
        <v>827</v>
      </c>
      <c r="C211" s="529" t="s">
        <v>27</v>
      </c>
      <c r="D211" s="529" t="str">
        <f>VLOOKUP(A211,Tabela8[[No.]:[Institution**]],9,FALSE)</f>
        <v>FCiências.ID</v>
      </c>
      <c r="E211" s="531" t="s">
        <v>41</v>
      </c>
      <c r="F211" s="529">
        <f>HLOOKUP(C211,'5.Equipments'!$AJ$2:$BC$22,2,FALSE)</f>
        <v>0</v>
      </c>
      <c r="G211" s="526">
        <f t="shared" si="34"/>
        <v>0</v>
      </c>
      <c r="H211" s="525">
        <f>IFERROR(VLOOKUP($B211,'3.Tasks'!$BK$4:$BO$23,2,FALSE),0)</f>
        <v>0</v>
      </c>
      <c r="I211" s="529">
        <f t="shared" si="40"/>
        <v>0</v>
      </c>
      <c r="J211" s="529">
        <f>IFERROR(VLOOKUP($B211,'3.Tasks'!$BK$4:$BO$23,3,FALSE),0)</f>
        <v>0</v>
      </c>
      <c r="K211" s="532">
        <v>0</v>
      </c>
      <c r="L211" s="529">
        <f>IFERROR(VLOOKUP($B211,'3.Tasks'!$BK$4:$BO$23,4,FALSE),0)</f>
        <v>0</v>
      </c>
      <c r="M211" s="532">
        <v>0</v>
      </c>
      <c r="N211" s="529">
        <f>IFERROR(VLOOKUP($B211,'3.Tasks'!$BK$4:$BO$23,5,FALSE),0)</f>
        <v>0</v>
      </c>
      <c r="O211" s="532">
        <v>0</v>
      </c>
      <c r="P211" s="530">
        <f t="shared" si="39"/>
        <v>0</v>
      </c>
      <c r="R211" s="169">
        <v>7</v>
      </c>
      <c r="AJ211" s="110"/>
      <c r="AK211" s="110"/>
      <c r="AL211" s="110"/>
      <c r="AM211" s="110"/>
      <c r="AN211" s="110"/>
      <c r="AO211" s="110"/>
      <c r="AP211" s="110"/>
      <c r="AQ211" s="110"/>
      <c r="AR211" s="110"/>
      <c r="AS211" s="110"/>
      <c r="AT211" s="110"/>
      <c r="AU211" s="110"/>
      <c r="AV211" s="110"/>
      <c r="AW211" s="110"/>
      <c r="AX211" s="110"/>
      <c r="AY211" s="110"/>
      <c r="AZ211" s="110"/>
      <c r="BA211" s="110"/>
      <c r="BB211" s="110"/>
      <c r="BC211" s="110"/>
      <c r="BD211" s="110"/>
      <c r="BE211" s="110"/>
      <c r="BF211" s="110"/>
      <c r="BG211" s="110"/>
      <c r="BH211" s="110"/>
      <c r="BI211" s="110"/>
      <c r="BJ211" s="110"/>
      <c r="BK211" s="110"/>
      <c r="BL211" s="110"/>
    </row>
    <row r="212" spans="1:64">
      <c r="A212" s="529">
        <f t="shared" si="41"/>
        <v>1</v>
      </c>
      <c r="B212" s="529" t="s">
        <v>828</v>
      </c>
      <c r="C212" s="529" t="s">
        <v>28</v>
      </c>
      <c r="D212" s="529" t="str">
        <f>VLOOKUP(A212,Tabela8[[No.]:[Institution**]],9,FALSE)</f>
        <v>FCiências.ID</v>
      </c>
      <c r="E212" s="531" t="s">
        <v>41</v>
      </c>
      <c r="F212" s="529">
        <f>HLOOKUP(C212,'5.Equipments'!$AJ$2:$BC$22,2,FALSE)</f>
        <v>0</v>
      </c>
      <c r="G212" s="526">
        <f t="shared" si="34"/>
        <v>0</v>
      </c>
      <c r="H212" s="525">
        <f>IFERROR(VLOOKUP($B212,'3.Tasks'!$BK$4:$BO$23,2,FALSE),0)</f>
        <v>0</v>
      </c>
      <c r="I212" s="529">
        <f t="shared" si="40"/>
        <v>0</v>
      </c>
      <c r="J212" s="529">
        <f>IFERROR(VLOOKUP($B212,'3.Tasks'!$BK$4:$BO$23,3,FALSE),0)</f>
        <v>0</v>
      </c>
      <c r="K212" s="532">
        <v>0</v>
      </c>
      <c r="L212" s="529">
        <f>IFERROR(VLOOKUP($B212,'3.Tasks'!$BK$4:$BO$23,4,FALSE),0)</f>
        <v>0</v>
      </c>
      <c r="M212" s="532">
        <v>0</v>
      </c>
      <c r="N212" s="529">
        <f>IFERROR(VLOOKUP($B212,'3.Tasks'!$BK$4:$BO$23,5,FALSE),0)</f>
        <v>0</v>
      </c>
      <c r="O212" s="532">
        <v>0</v>
      </c>
      <c r="P212" s="530">
        <f t="shared" si="39"/>
        <v>0</v>
      </c>
      <c r="R212" s="169">
        <v>8</v>
      </c>
      <c r="AJ212" s="110"/>
      <c r="AK212" s="110"/>
      <c r="AL212" s="110"/>
      <c r="AM212" s="110"/>
      <c r="AN212" s="110"/>
      <c r="AO212" s="110"/>
      <c r="AP212" s="110"/>
      <c r="AQ212" s="110"/>
      <c r="AR212" s="110"/>
      <c r="AS212" s="110"/>
      <c r="AT212" s="110"/>
      <c r="AU212" s="110"/>
      <c r="AV212" s="110"/>
      <c r="AW212" s="110"/>
      <c r="AX212" s="110"/>
      <c r="AY212" s="110"/>
      <c r="AZ212" s="110"/>
      <c r="BA212" s="110"/>
      <c r="BB212" s="110"/>
      <c r="BC212" s="110"/>
      <c r="BD212" s="110"/>
      <c r="BE212" s="110"/>
      <c r="BF212" s="110"/>
      <c r="BG212" s="110"/>
      <c r="BH212" s="110"/>
      <c r="BI212" s="110"/>
      <c r="BJ212" s="110"/>
      <c r="BK212" s="110"/>
      <c r="BL212" s="110"/>
    </row>
    <row r="213" spans="1:64">
      <c r="A213" s="529">
        <f t="shared" si="41"/>
        <v>1</v>
      </c>
      <c r="B213" s="529" t="s">
        <v>829</v>
      </c>
      <c r="C213" s="529" t="s">
        <v>29</v>
      </c>
      <c r="D213" s="529" t="str">
        <f>VLOOKUP(A213,Tabela8[[No.]:[Institution**]],9,FALSE)</f>
        <v>FCiências.ID</v>
      </c>
      <c r="E213" s="531" t="s">
        <v>41</v>
      </c>
      <c r="F213" s="529">
        <f>HLOOKUP(C213,'5.Equipments'!$AJ$2:$BC$22,2,FALSE)</f>
        <v>0</v>
      </c>
      <c r="G213" s="526">
        <f t="shared" si="34"/>
        <v>0</v>
      </c>
      <c r="H213" s="525">
        <f>IFERROR(VLOOKUP($B213,'3.Tasks'!$BK$4:$BO$23,2,FALSE),0)</f>
        <v>0</v>
      </c>
      <c r="I213" s="529">
        <f t="shared" si="40"/>
        <v>0</v>
      </c>
      <c r="J213" s="529">
        <f>IFERROR(VLOOKUP($B213,'3.Tasks'!$BK$4:$BO$23,3,FALSE),0)</f>
        <v>0</v>
      </c>
      <c r="K213" s="532">
        <v>0</v>
      </c>
      <c r="L213" s="529">
        <f>IFERROR(VLOOKUP($B213,'3.Tasks'!$BK$4:$BO$23,4,FALSE),0)</f>
        <v>0</v>
      </c>
      <c r="M213" s="532">
        <v>0</v>
      </c>
      <c r="N213" s="529">
        <f>IFERROR(VLOOKUP($B213,'3.Tasks'!$BK$4:$BO$23,5,FALSE),0)</f>
        <v>0</v>
      </c>
      <c r="O213" s="532">
        <v>0</v>
      </c>
      <c r="P213" s="530">
        <f t="shared" si="39"/>
        <v>0</v>
      </c>
      <c r="R213" s="169">
        <v>9</v>
      </c>
      <c r="AJ213" s="110"/>
      <c r="AK213" s="110"/>
      <c r="AL213" s="110"/>
      <c r="AM213" s="110"/>
      <c r="AN213" s="110"/>
      <c r="AO213" s="110"/>
      <c r="AP213" s="110"/>
      <c r="AQ213" s="110"/>
      <c r="AR213" s="110"/>
      <c r="AS213" s="110"/>
      <c r="AT213" s="110"/>
      <c r="AU213" s="110"/>
      <c r="AV213" s="110"/>
      <c r="AW213" s="110"/>
      <c r="AX213" s="110"/>
      <c r="AY213" s="110"/>
      <c r="AZ213" s="110"/>
      <c r="BA213" s="110"/>
      <c r="BB213" s="110"/>
      <c r="BC213" s="110"/>
      <c r="BD213" s="110"/>
      <c r="BE213" s="110"/>
      <c r="BF213" s="110"/>
      <c r="BG213" s="110"/>
      <c r="BH213" s="110"/>
      <c r="BI213" s="110"/>
      <c r="BJ213" s="110"/>
      <c r="BK213" s="110"/>
      <c r="BL213" s="110"/>
    </row>
    <row r="214" spans="1:64">
      <c r="A214" s="529">
        <f t="shared" si="41"/>
        <v>1</v>
      </c>
      <c r="B214" s="529" t="s">
        <v>830</v>
      </c>
      <c r="C214" s="529" t="s">
        <v>30</v>
      </c>
      <c r="D214" s="529" t="str">
        <f>VLOOKUP(A214,Tabela8[[No.]:[Institution**]],9,FALSE)</f>
        <v>FCiências.ID</v>
      </c>
      <c r="E214" s="531" t="s">
        <v>41</v>
      </c>
      <c r="F214" s="529">
        <f>HLOOKUP(C214,'5.Equipments'!$AJ$2:$BC$22,2,FALSE)</f>
        <v>0</v>
      </c>
      <c r="G214" s="526">
        <f t="shared" si="34"/>
        <v>0</v>
      </c>
      <c r="H214" s="525">
        <f>IFERROR(VLOOKUP($B214,'3.Tasks'!$BK$4:$BO$23,2,FALSE),0)</f>
        <v>0</v>
      </c>
      <c r="I214" s="529">
        <f t="shared" si="40"/>
        <v>0</v>
      </c>
      <c r="J214" s="529">
        <f>IFERROR(VLOOKUP($B214,'3.Tasks'!$BK$4:$BO$23,3,FALSE),0)</f>
        <v>0</v>
      </c>
      <c r="K214" s="532">
        <v>0</v>
      </c>
      <c r="L214" s="529">
        <f>IFERROR(VLOOKUP($B214,'3.Tasks'!$BK$4:$BO$23,4,FALSE),0)</f>
        <v>0</v>
      </c>
      <c r="M214" s="532">
        <v>0</v>
      </c>
      <c r="N214" s="529">
        <f>IFERROR(VLOOKUP($B214,'3.Tasks'!$BK$4:$BO$23,5,FALSE),0)</f>
        <v>0</v>
      </c>
      <c r="O214" s="532">
        <v>0</v>
      </c>
      <c r="P214" s="530">
        <f t="shared" si="39"/>
        <v>0</v>
      </c>
      <c r="R214" s="169">
        <v>10</v>
      </c>
      <c r="AJ214" s="110"/>
      <c r="AK214" s="110"/>
      <c r="AL214" s="110"/>
      <c r="AM214" s="110"/>
      <c r="AN214" s="110"/>
      <c r="AO214" s="110"/>
      <c r="AP214" s="110"/>
      <c r="AQ214" s="110"/>
      <c r="AR214" s="110"/>
      <c r="AS214" s="110"/>
      <c r="AT214" s="110"/>
      <c r="AU214" s="110"/>
      <c r="AV214" s="110"/>
      <c r="AW214" s="110"/>
      <c r="AX214" s="110"/>
      <c r="AY214" s="110"/>
      <c r="AZ214" s="110"/>
      <c r="BA214" s="110"/>
      <c r="BB214" s="110"/>
      <c r="BC214" s="110"/>
      <c r="BD214" s="110"/>
      <c r="BE214" s="110"/>
      <c r="BF214" s="110"/>
      <c r="BG214" s="110"/>
      <c r="BH214" s="110"/>
      <c r="BI214" s="110"/>
      <c r="BJ214" s="110"/>
      <c r="BK214" s="110"/>
      <c r="BL214" s="110"/>
    </row>
    <row r="215" spans="1:64">
      <c r="A215" s="529">
        <f t="shared" si="41"/>
        <v>1</v>
      </c>
      <c r="B215" s="529" t="s">
        <v>831</v>
      </c>
      <c r="C215" s="529" t="s">
        <v>31</v>
      </c>
      <c r="D215" s="529" t="str">
        <f>VLOOKUP(A215,Tabela8[[No.]:[Institution**]],9,FALSE)</f>
        <v>FCiências.ID</v>
      </c>
      <c r="E215" s="531" t="s">
        <v>41</v>
      </c>
      <c r="F215" s="529">
        <f>HLOOKUP(C215,'5.Equipments'!$AJ$2:$BC$22,2,FALSE)</f>
        <v>0</v>
      </c>
      <c r="G215" s="526">
        <f t="shared" si="34"/>
        <v>0</v>
      </c>
      <c r="H215" s="525">
        <f>IFERROR(VLOOKUP($B215,'3.Tasks'!$BK$4:$BO$23,2,FALSE),0)</f>
        <v>0</v>
      </c>
      <c r="I215" s="529">
        <f t="shared" si="40"/>
        <v>0</v>
      </c>
      <c r="J215" s="529">
        <f>IFERROR(VLOOKUP($B215,'3.Tasks'!$BK$4:$BO$23,3,FALSE),0)</f>
        <v>0</v>
      </c>
      <c r="K215" s="532">
        <v>0</v>
      </c>
      <c r="L215" s="529">
        <f>IFERROR(VLOOKUP($B215,'3.Tasks'!$BK$4:$BO$23,4,FALSE),0)</f>
        <v>0</v>
      </c>
      <c r="M215" s="532">
        <v>0</v>
      </c>
      <c r="N215" s="529">
        <f>IFERROR(VLOOKUP($B215,'3.Tasks'!$BK$4:$BO$23,5,FALSE),0)</f>
        <v>0</v>
      </c>
      <c r="O215" s="532">
        <v>0</v>
      </c>
      <c r="P215" s="530">
        <f t="shared" si="39"/>
        <v>0</v>
      </c>
      <c r="R215" s="169">
        <v>11</v>
      </c>
      <c r="AJ215" s="110"/>
      <c r="AK215" s="110"/>
      <c r="AL215" s="110"/>
      <c r="AM215" s="110"/>
      <c r="AN215" s="110"/>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row>
    <row r="216" spans="1:64">
      <c r="A216" s="529">
        <f t="shared" si="41"/>
        <v>1</v>
      </c>
      <c r="B216" s="529" t="s">
        <v>832</v>
      </c>
      <c r="C216" s="529" t="s">
        <v>32</v>
      </c>
      <c r="D216" s="529" t="str">
        <f>VLOOKUP(A216,Tabela8[[No.]:[Institution**]],9,FALSE)</f>
        <v>FCiências.ID</v>
      </c>
      <c r="E216" s="531" t="s">
        <v>41</v>
      </c>
      <c r="F216" s="529">
        <f>HLOOKUP(C216,'5.Equipments'!$AJ$2:$BC$22,2,FALSE)</f>
        <v>0</v>
      </c>
      <c r="G216" s="526">
        <f t="shared" si="34"/>
        <v>0</v>
      </c>
      <c r="H216" s="525">
        <f>IFERROR(VLOOKUP($B216,'3.Tasks'!$BK$4:$BO$23,2,FALSE),0)</f>
        <v>0</v>
      </c>
      <c r="I216" s="529">
        <f t="shared" si="40"/>
        <v>0</v>
      </c>
      <c r="J216" s="529">
        <f>IFERROR(VLOOKUP($B216,'3.Tasks'!$BK$4:$BO$23,3,FALSE),0)</f>
        <v>0</v>
      </c>
      <c r="K216" s="532">
        <v>0</v>
      </c>
      <c r="L216" s="529">
        <f>IFERROR(VLOOKUP($B216,'3.Tasks'!$BK$4:$BO$23,4,FALSE),0)</f>
        <v>0</v>
      </c>
      <c r="M216" s="532">
        <v>0</v>
      </c>
      <c r="N216" s="529">
        <f>IFERROR(VLOOKUP($B216,'3.Tasks'!$BK$4:$BO$23,5,FALSE),0)</f>
        <v>0</v>
      </c>
      <c r="O216" s="532">
        <v>0</v>
      </c>
      <c r="P216" s="530">
        <f t="shared" si="39"/>
        <v>0</v>
      </c>
      <c r="R216" s="169">
        <v>12</v>
      </c>
      <c r="AJ216" s="110"/>
      <c r="AK216" s="110"/>
      <c r="AL216" s="110"/>
      <c r="AM216" s="110"/>
      <c r="AN216" s="110"/>
      <c r="AO216" s="110"/>
      <c r="AP216" s="110"/>
      <c r="AQ216" s="110"/>
      <c r="AR216" s="110"/>
      <c r="AS216" s="110"/>
      <c r="AT216" s="110"/>
      <c r="AU216" s="110"/>
      <c r="AV216" s="110"/>
      <c r="AW216" s="110"/>
      <c r="AX216" s="110"/>
      <c r="AY216" s="110"/>
      <c r="AZ216" s="110"/>
      <c r="BA216" s="110"/>
      <c r="BB216" s="110"/>
      <c r="BC216" s="110"/>
      <c r="BD216" s="110"/>
      <c r="BE216" s="110"/>
      <c r="BF216" s="110"/>
      <c r="BG216" s="110"/>
      <c r="BH216" s="110"/>
      <c r="BI216" s="110"/>
      <c r="BJ216" s="110"/>
      <c r="BK216" s="110"/>
      <c r="BL216" s="110"/>
    </row>
    <row r="217" spans="1:64">
      <c r="A217" s="529">
        <f t="shared" si="41"/>
        <v>1</v>
      </c>
      <c r="B217" s="529" t="s">
        <v>833</v>
      </c>
      <c r="C217" s="529" t="s">
        <v>33</v>
      </c>
      <c r="D217" s="529" t="str">
        <f>VLOOKUP(A217,Tabela8[[No.]:[Institution**]],9,FALSE)</f>
        <v>FCiências.ID</v>
      </c>
      <c r="E217" s="531" t="s">
        <v>41</v>
      </c>
      <c r="F217" s="529">
        <f>HLOOKUP(C217,'5.Equipments'!$AJ$2:$BC$22,2,FALSE)</f>
        <v>0</v>
      </c>
      <c r="G217" s="526">
        <f t="shared" si="34"/>
        <v>0</v>
      </c>
      <c r="H217" s="525">
        <f>IFERROR(VLOOKUP($B217,'3.Tasks'!$BK$4:$BO$23,2,FALSE),0)</f>
        <v>0</v>
      </c>
      <c r="I217" s="529">
        <f t="shared" si="40"/>
        <v>0</v>
      </c>
      <c r="J217" s="529">
        <f>IFERROR(VLOOKUP($B217,'3.Tasks'!$BK$4:$BO$23,3,FALSE),0)</f>
        <v>0</v>
      </c>
      <c r="K217" s="532">
        <v>0</v>
      </c>
      <c r="L217" s="529">
        <f>IFERROR(VLOOKUP($B217,'3.Tasks'!$BK$4:$BO$23,4,FALSE),0)</f>
        <v>0</v>
      </c>
      <c r="M217" s="532">
        <v>0</v>
      </c>
      <c r="N217" s="529">
        <f>IFERROR(VLOOKUP($B217,'3.Tasks'!$BK$4:$BO$23,5,FALSE),0)</f>
        <v>0</v>
      </c>
      <c r="O217" s="532">
        <v>0</v>
      </c>
      <c r="P217" s="530">
        <f t="shared" si="39"/>
        <v>0</v>
      </c>
      <c r="R217" s="169">
        <v>13</v>
      </c>
      <c r="AJ217" s="110"/>
      <c r="AK217" s="110"/>
      <c r="AL217" s="110"/>
      <c r="AM217" s="110"/>
      <c r="AN217" s="110"/>
      <c r="AO217" s="110"/>
      <c r="AP217" s="110"/>
      <c r="AQ217" s="110"/>
      <c r="AR217" s="110"/>
      <c r="AS217" s="110"/>
      <c r="AT217" s="110"/>
      <c r="AU217" s="110"/>
      <c r="AV217" s="110"/>
      <c r="AW217" s="110"/>
      <c r="AX217" s="110"/>
      <c r="AY217" s="110"/>
      <c r="AZ217" s="110"/>
      <c r="BA217" s="110"/>
      <c r="BB217" s="110"/>
      <c r="BC217" s="110"/>
      <c r="BD217" s="110"/>
      <c r="BE217" s="110"/>
      <c r="BF217" s="110"/>
      <c r="BG217" s="110"/>
      <c r="BH217" s="110"/>
      <c r="BI217" s="110"/>
      <c r="BJ217" s="110"/>
      <c r="BK217" s="110"/>
      <c r="BL217" s="110"/>
    </row>
    <row r="218" spans="1:64">
      <c r="A218" s="529">
        <f t="shared" si="41"/>
        <v>1</v>
      </c>
      <c r="B218" s="529" t="s">
        <v>834</v>
      </c>
      <c r="C218" s="529" t="s">
        <v>34</v>
      </c>
      <c r="D218" s="529" t="str">
        <f>VLOOKUP(A218,Tabela8[[No.]:[Institution**]],9,FALSE)</f>
        <v>FCiências.ID</v>
      </c>
      <c r="E218" s="531" t="s">
        <v>41</v>
      </c>
      <c r="F218" s="529">
        <f>HLOOKUP(C218,'5.Equipments'!$AJ$2:$BC$22,2,FALSE)</f>
        <v>0</v>
      </c>
      <c r="G218" s="526">
        <f t="shared" si="34"/>
        <v>0</v>
      </c>
      <c r="H218" s="525">
        <f>IFERROR(VLOOKUP($B218,'3.Tasks'!$BK$4:$BO$23,2,FALSE),0)</f>
        <v>0</v>
      </c>
      <c r="I218" s="529">
        <f t="shared" si="40"/>
        <v>0</v>
      </c>
      <c r="J218" s="529">
        <f>IFERROR(VLOOKUP($B218,'3.Tasks'!$BK$4:$BO$23,3,FALSE),0)</f>
        <v>0</v>
      </c>
      <c r="K218" s="532">
        <v>0</v>
      </c>
      <c r="L218" s="529">
        <f>IFERROR(VLOOKUP($B218,'3.Tasks'!$BK$4:$BO$23,4,FALSE),0)</f>
        <v>0</v>
      </c>
      <c r="M218" s="532">
        <v>0</v>
      </c>
      <c r="N218" s="529">
        <f>IFERROR(VLOOKUP($B218,'3.Tasks'!$BK$4:$BO$23,5,FALSE),0)</f>
        <v>0</v>
      </c>
      <c r="O218" s="532">
        <v>0</v>
      </c>
      <c r="P218" s="530">
        <f t="shared" si="39"/>
        <v>0</v>
      </c>
      <c r="R218" s="169">
        <v>14</v>
      </c>
      <c r="AJ218" s="110"/>
      <c r="AK218" s="110"/>
      <c r="AL218" s="110"/>
      <c r="AM218" s="110"/>
      <c r="AN218" s="110"/>
      <c r="AO218" s="110"/>
      <c r="AP218" s="110"/>
      <c r="AQ218" s="110"/>
      <c r="AR218" s="110"/>
      <c r="AS218" s="110"/>
      <c r="AT218" s="110"/>
      <c r="AU218" s="110"/>
      <c r="AV218" s="110"/>
      <c r="AW218" s="110"/>
      <c r="AX218" s="110"/>
      <c r="AY218" s="110"/>
      <c r="AZ218" s="110"/>
      <c r="BA218" s="110"/>
      <c r="BB218" s="110"/>
      <c r="BC218" s="110"/>
      <c r="BD218" s="110"/>
      <c r="BE218" s="110"/>
      <c r="BF218" s="110"/>
      <c r="BG218" s="110"/>
      <c r="BH218" s="110"/>
      <c r="BI218" s="110"/>
      <c r="BJ218" s="110"/>
      <c r="BK218" s="110"/>
      <c r="BL218" s="110"/>
    </row>
    <row r="219" spans="1:64">
      <c r="A219" s="529">
        <f t="shared" si="41"/>
        <v>1</v>
      </c>
      <c r="B219" s="529" t="s">
        <v>835</v>
      </c>
      <c r="C219" s="529" t="s">
        <v>35</v>
      </c>
      <c r="D219" s="529" t="str">
        <f>VLOOKUP(A219,Tabela8[[No.]:[Institution**]],9,FALSE)</f>
        <v>FCiências.ID</v>
      </c>
      <c r="E219" s="531" t="s">
        <v>41</v>
      </c>
      <c r="F219" s="529">
        <f>HLOOKUP(C219,'5.Equipments'!$AJ$2:$BC$22,2,FALSE)</f>
        <v>0</v>
      </c>
      <c r="G219" s="526">
        <f t="shared" si="34"/>
        <v>0</v>
      </c>
      <c r="H219" s="525">
        <f>IFERROR(VLOOKUP($B219,'3.Tasks'!$BK$4:$BO$23,2,FALSE),0)</f>
        <v>0</v>
      </c>
      <c r="I219" s="529">
        <f t="shared" si="40"/>
        <v>0</v>
      </c>
      <c r="J219" s="529">
        <f>IFERROR(VLOOKUP($B219,'3.Tasks'!$BK$4:$BO$23,3,FALSE),0)</f>
        <v>0</v>
      </c>
      <c r="K219" s="532">
        <v>0</v>
      </c>
      <c r="L219" s="529">
        <f>IFERROR(VLOOKUP($B219,'3.Tasks'!$BK$4:$BO$23,4,FALSE),0)</f>
        <v>0</v>
      </c>
      <c r="M219" s="532">
        <v>0</v>
      </c>
      <c r="N219" s="529">
        <f>IFERROR(VLOOKUP($B219,'3.Tasks'!$BK$4:$BO$23,5,FALSE),0)</f>
        <v>0</v>
      </c>
      <c r="O219" s="532">
        <v>0</v>
      </c>
      <c r="P219" s="530">
        <f t="shared" si="39"/>
        <v>0</v>
      </c>
      <c r="R219" s="169">
        <v>15</v>
      </c>
      <c r="AJ219" s="110"/>
      <c r="AK219" s="110"/>
      <c r="AL219" s="110"/>
      <c r="AM219" s="110"/>
      <c r="AN219" s="110"/>
      <c r="AO219" s="110"/>
      <c r="AP219" s="110"/>
      <c r="AQ219" s="110"/>
      <c r="AR219" s="110"/>
      <c r="AS219" s="110"/>
      <c r="AT219" s="110"/>
      <c r="AU219" s="110"/>
      <c r="AV219" s="110"/>
      <c r="AW219" s="110"/>
      <c r="AX219" s="110"/>
      <c r="AY219" s="110"/>
      <c r="AZ219" s="110"/>
      <c r="BA219" s="110"/>
      <c r="BB219" s="110"/>
      <c r="BC219" s="110"/>
      <c r="BD219" s="110"/>
      <c r="BE219" s="110"/>
      <c r="BF219" s="110"/>
      <c r="BG219" s="110"/>
      <c r="BH219" s="110"/>
      <c r="BI219" s="110"/>
      <c r="BJ219" s="110"/>
      <c r="BK219" s="110"/>
      <c r="BL219" s="110"/>
    </row>
    <row r="220" spans="1:64">
      <c r="A220" s="529">
        <f t="shared" si="41"/>
        <v>1</v>
      </c>
      <c r="B220" s="529" t="s">
        <v>836</v>
      </c>
      <c r="C220" s="529" t="s">
        <v>36</v>
      </c>
      <c r="D220" s="529" t="str">
        <f>VLOOKUP(A220,Tabela8[[No.]:[Institution**]],9,FALSE)</f>
        <v>FCiências.ID</v>
      </c>
      <c r="E220" s="531" t="s">
        <v>41</v>
      </c>
      <c r="F220" s="529">
        <f>HLOOKUP(C220,'5.Equipments'!$AJ$2:$BC$22,2,FALSE)</f>
        <v>0</v>
      </c>
      <c r="G220" s="526">
        <f t="shared" si="34"/>
        <v>0</v>
      </c>
      <c r="H220" s="525">
        <f>IFERROR(VLOOKUP($B220,'3.Tasks'!$BK$4:$BO$23,2,FALSE),0)</f>
        <v>0</v>
      </c>
      <c r="I220" s="529">
        <f t="shared" si="40"/>
        <v>0</v>
      </c>
      <c r="J220" s="529">
        <f>IFERROR(VLOOKUP($B220,'3.Tasks'!$BK$4:$BO$23,3,FALSE),0)</f>
        <v>0</v>
      </c>
      <c r="K220" s="532">
        <v>0</v>
      </c>
      <c r="L220" s="529">
        <f>IFERROR(VLOOKUP($B220,'3.Tasks'!$BK$4:$BO$23,4,FALSE),0)</f>
        <v>0</v>
      </c>
      <c r="M220" s="532">
        <v>0</v>
      </c>
      <c r="N220" s="529">
        <f>IFERROR(VLOOKUP($B220,'3.Tasks'!$BK$4:$BO$23,5,FALSE),0)</f>
        <v>0</v>
      </c>
      <c r="O220" s="532">
        <v>0</v>
      </c>
      <c r="P220" s="530">
        <f t="shared" si="39"/>
        <v>0</v>
      </c>
      <c r="R220" s="169">
        <v>16</v>
      </c>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row>
    <row r="221" spans="1:64">
      <c r="A221" s="529">
        <f t="shared" si="41"/>
        <v>1</v>
      </c>
      <c r="B221" s="529" t="s">
        <v>837</v>
      </c>
      <c r="C221" s="529" t="s">
        <v>37</v>
      </c>
      <c r="D221" s="529" t="str">
        <f>VLOOKUP(A221,Tabela8[[No.]:[Institution**]],9,FALSE)</f>
        <v>FCiências.ID</v>
      </c>
      <c r="E221" s="531" t="s">
        <v>41</v>
      </c>
      <c r="F221" s="529">
        <f>HLOOKUP(C221,'5.Equipments'!$AJ$2:$BC$22,2,FALSE)</f>
        <v>0</v>
      </c>
      <c r="G221" s="526">
        <f t="shared" si="34"/>
        <v>0</v>
      </c>
      <c r="H221" s="525">
        <f>IFERROR(VLOOKUP($B221,'3.Tasks'!$BK$4:$BO$23,2,FALSE),0)</f>
        <v>0</v>
      </c>
      <c r="I221" s="529">
        <f t="shared" si="40"/>
        <v>0</v>
      </c>
      <c r="J221" s="529">
        <f>IFERROR(VLOOKUP($B221,'3.Tasks'!$BK$4:$BO$23,3,FALSE),0)</f>
        <v>0</v>
      </c>
      <c r="K221" s="532">
        <v>0</v>
      </c>
      <c r="L221" s="529">
        <f>IFERROR(VLOOKUP($B221,'3.Tasks'!$BK$4:$BO$23,4,FALSE),0)</f>
        <v>0</v>
      </c>
      <c r="M221" s="532">
        <v>0</v>
      </c>
      <c r="N221" s="529">
        <f>IFERROR(VLOOKUP($B221,'3.Tasks'!$BK$4:$BO$23,5,FALSE),0)</f>
        <v>0</v>
      </c>
      <c r="O221" s="532">
        <v>0</v>
      </c>
      <c r="P221" s="530">
        <f t="shared" si="39"/>
        <v>0</v>
      </c>
      <c r="R221" s="169">
        <v>17</v>
      </c>
      <c r="AJ221" s="110"/>
      <c r="AK221" s="110"/>
      <c r="AL221" s="110"/>
      <c r="AM221" s="110"/>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row>
    <row r="222" spans="1:64">
      <c r="A222" s="529">
        <v>2</v>
      </c>
      <c r="B222" s="529" t="s">
        <v>818</v>
      </c>
      <c r="C222" s="529" t="s">
        <v>18</v>
      </c>
      <c r="D222" s="529" t="str">
        <f>VLOOKUP(A222,Tabela8[[No.]:[Institution**]],9,FALSE)</f>
        <v>FCiências.ID</v>
      </c>
      <c r="E222" s="531" t="s">
        <v>41</v>
      </c>
      <c r="F222" s="529">
        <f>HLOOKUP(C222,'5.Equipments'!$AJ$2:$BC$22,3,FALSE)</f>
        <v>0</v>
      </c>
      <c r="G222" s="526">
        <f t="shared" si="34"/>
        <v>0</v>
      </c>
      <c r="H222" s="525">
        <f>IFERROR(VLOOKUP($B222,'3.Tasks'!$BK$4:$BO$23,2,FALSE),0)</f>
        <v>0</v>
      </c>
      <c r="I222" s="529">
        <f t="shared" si="40"/>
        <v>0</v>
      </c>
      <c r="J222" s="529">
        <f>IFERROR(VLOOKUP($B222,'3.Tasks'!$BK$4:$BO$23,3,FALSE),0)</f>
        <v>0</v>
      </c>
      <c r="K222" s="532">
        <v>0</v>
      </c>
      <c r="L222" s="529">
        <f>IFERROR(VLOOKUP($B222,'3.Tasks'!$BK$4:$BO$23,4,FALSE),0)</f>
        <v>0</v>
      </c>
      <c r="M222" s="532">
        <v>0</v>
      </c>
      <c r="N222" s="529">
        <f>IFERROR(VLOOKUP($B222,'3.Tasks'!$BK$4:$BO$23,5,FALSE),0)</f>
        <v>0</v>
      </c>
      <c r="O222" s="532">
        <v>0</v>
      </c>
      <c r="P222" s="530">
        <f t="shared" si="39"/>
        <v>0</v>
      </c>
      <c r="R222" s="169">
        <v>18</v>
      </c>
      <c r="AJ222" s="110"/>
      <c r="AK222" s="110"/>
      <c r="AL222" s="110"/>
      <c r="AM222" s="110"/>
      <c r="AN222" s="110"/>
      <c r="AO222" s="110"/>
      <c r="AP222" s="110"/>
      <c r="AQ222" s="110"/>
      <c r="AR222" s="110"/>
      <c r="AS222" s="110"/>
      <c r="AT222" s="110"/>
      <c r="AU222" s="110"/>
      <c r="AV222" s="110"/>
      <c r="AW222" s="110"/>
      <c r="AX222" s="110"/>
      <c r="AY222" s="110"/>
      <c r="AZ222" s="110"/>
      <c r="BA222" s="110"/>
      <c r="BB222" s="110"/>
      <c r="BC222" s="110"/>
      <c r="BD222" s="110"/>
      <c r="BE222" s="110"/>
      <c r="BF222" s="110"/>
      <c r="BG222" s="110"/>
      <c r="BH222" s="110"/>
      <c r="BI222" s="110"/>
      <c r="BJ222" s="110"/>
      <c r="BK222" s="110"/>
      <c r="BL222" s="110"/>
    </row>
    <row r="223" spans="1:64">
      <c r="A223" s="529">
        <f>+A222</f>
        <v>2</v>
      </c>
      <c r="B223" s="529" t="s">
        <v>819</v>
      </c>
      <c r="C223" s="529" t="s">
        <v>19</v>
      </c>
      <c r="D223" s="529" t="str">
        <f>VLOOKUP(A223,Tabela8[[No.]:[Institution**]],9,FALSE)</f>
        <v>FCiências.ID</v>
      </c>
      <c r="E223" s="531" t="s">
        <v>41</v>
      </c>
      <c r="F223" s="529">
        <f>HLOOKUP(C223,'5.Equipments'!$AJ$2:$BC$22,3,FALSE)</f>
        <v>0</v>
      </c>
      <c r="G223" s="526">
        <f t="shared" si="34"/>
        <v>0</v>
      </c>
      <c r="H223" s="525">
        <f>IFERROR(VLOOKUP($B223,'3.Tasks'!$BK$4:$BO$23,2,FALSE),0)</f>
        <v>0</v>
      </c>
      <c r="I223" s="529">
        <f t="shared" si="40"/>
        <v>0</v>
      </c>
      <c r="J223" s="529">
        <f>IFERROR(VLOOKUP($B223,'3.Tasks'!$BK$4:$BO$23,3,FALSE),0)</f>
        <v>0</v>
      </c>
      <c r="K223" s="532">
        <v>0</v>
      </c>
      <c r="L223" s="529">
        <f>IFERROR(VLOOKUP($B223,'3.Tasks'!$BK$4:$BO$23,4,FALSE),0)</f>
        <v>0</v>
      </c>
      <c r="M223" s="532">
        <v>0</v>
      </c>
      <c r="N223" s="529">
        <f>IFERROR(VLOOKUP($B223,'3.Tasks'!$BK$4:$BO$23,5,FALSE),0)</f>
        <v>0</v>
      </c>
      <c r="O223" s="532">
        <v>0</v>
      </c>
      <c r="P223" s="530">
        <f t="shared" si="39"/>
        <v>0</v>
      </c>
      <c r="R223" s="169">
        <v>19</v>
      </c>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c r="BI223" s="110"/>
      <c r="BJ223" s="110"/>
      <c r="BK223" s="110"/>
      <c r="BL223" s="110"/>
    </row>
    <row r="224" spans="1:64">
      <c r="A224" s="529">
        <f t="shared" ref="A224:A241" si="42">+A223</f>
        <v>2</v>
      </c>
      <c r="B224" s="529" t="s">
        <v>820</v>
      </c>
      <c r="C224" s="529" t="s">
        <v>20</v>
      </c>
      <c r="D224" s="529" t="str">
        <f>VLOOKUP(A224,Tabela8[[No.]:[Institution**]],9,FALSE)</f>
        <v>FCiências.ID</v>
      </c>
      <c r="E224" s="531" t="s">
        <v>41</v>
      </c>
      <c r="F224" s="529">
        <f>HLOOKUP(C224,'5.Equipments'!$AJ$2:$BC$22,3,FALSE)</f>
        <v>0</v>
      </c>
      <c r="G224" s="526">
        <f t="shared" si="34"/>
        <v>0</v>
      </c>
      <c r="H224" s="525">
        <f>IFERROR(VLOOKUP($B224,'3.Tasks'!$BK$4:$BO$23,2,FALSE),0)</f>
        <v>0</v>
      </c>
      <c r="I224" s="529">
        <f t="shared" si="40"/>
        <v>0</v>
      </c>
      <c r="J224" s="529">
        <f>IFERROR(VLOOKUP($B224,'3.Tasks'!$BK$4:$BO$23,3,FALSE),0)</f>
        <v>0</v>
      </c>
      <c r="K224" s="532">
        <v>0</v>
      </c>
      <c r="L224" s="529">
        <f>IFERROR(VLOOKUP($B224,'3.Tasks'!$BK$4:$BO$23,4,FALSE),0)</f>
        <v>0</v>
      </c>
      <c r="M224" s="532">
        <v>0</v>
      </c>
      <c r="N224" s="529">
        <f>IFERROR(VLOOKUP($B224,'3.Tasks'!$BK$4:$BO$23,5,FALSE),0)</f>
        <v>0</v>
      </c>
      <c r="O224" s="532">
        <v>0</v>
      </c>
      <c r="P224" s="530">
        <f t="shared" si="39"/>
        <v>0</v>
      </c>
      <c r="R224" s="169">
        <v>20</v>
      </c>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row>
    <row r="225" spans="1:64">
      <c r="A225" s="529">
        <f t="shared" si="42"/>
        <v>2</v>
      </c>
      <c r="B225" s="529" t="s">
        <v>821</v>
      </c>
      <c r="C225" s="529" t="s">
        <v>21</v>
      </c>
      <c r="D225" s="529" t="str">
        <f>VLOOKUP(A225,Tabela8[[No.]:[Institution**]],9,FALSE)</f>
        <v>FCiências.ID</v>
      </c>
      <c r="E225" s="531" t="s">
        <v>41</v>
      </c>
      <c r="F225" s="529">
        <f>HLOOKUP(C225,'5.Equipments'!$AJ$2:$BC$22,3,FALSE)</f>
        <v>0</v>
      </c>
      <c r="G225" s="526">
        <f t="shared" si="34"/>
        <v>0</v>
      </c>
      <c r="H225" s="525">
        <f>IFERROR(VLOOKUP($B225,'3.Tasks'!$BK$4:$BO$23,2,FALSE),0)</f>
        <v>0</v>
      </c>
      <c r="I225" s="529">
        <f t="shared" si="40"/>
        <v>0</v>
      </c>
      <c r="J225" s="529">
        <f>IFERROR(VLOOKUP($B225,'3.Tasks'!$BK$4:$BO$23,3,FALSE),0)</f>
        <v>0</v>
      </c>
      <c r="K225" s="532">
        <v>0</v>
      </c>
      <c r="L225" s="529">
        <f>IFERROR(VLOOKUP($B225,'3.Tasks'!$BK$4:$BO$23,4,FALSE),0)</f>
        <v>0</v>
      </c>
      <c r="M225" s="532">
        <v>0</v>
      </c>
      <c r="N225" s="529">
        <f>IFERROR(VLOOKUP($B225,'3.Tasks'!$BK$4:$BO$23,5,FALSE),0)</f>
        <v>0</v>
      </c>
      <c r="O225" s="532">
        <v>0</v>
      </c>
      <c r="P225" s="530">
        <f t="shared" si="39"/>
        <v>0</v>
      </c>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row>
    <row r="226" spans="1:64">
      <c r="A226" s="529">
        <f t="shared" si="42"/>
        <v>2</v>
      </c>
      <c r="B226" s="529" t="s">
        <v>822</v>
      </c>
      <c r="C226" s="529" t="s">
        <v>22</v>
      </c>
      <c r="D226" s="529" t="str">
        <f>VLOOKUP(A226,Tabela8[[No.]:[Institution**]],9,FALSE)</f>
        <v>FCiências.ID</v>
      </c>
      <c r="E226" s="531" t="s">
        <v>41</v>
      </c>
      <c r="F226" s="529">
        <f>HLOOKUP(C226,'5.Equipments'!$AJ$2:$BC$22,3,FALSE)</f>
        <v>0</v>
      </c>
      <c r="G226" s="526">
        <f t="shared" si="34"/>
        <v>0</v>
      </c>
      <c r="H226" s="525">
        <f>IFERROR(VLOOKUP($B226,'3.Tasks'!$BK$4:$BO$23,2,FALSE),0)</f>
        <v>0</v>
      </c>
      <c r="I226" s="529">
        <f t="shared" si="40"/>
        <v>0</v>
      </c>
      <c r="J226" s="529">
        <f>IFERROR(VLOOKUP($B226,'3.Tasks'!$BK$4:$BO$23,3,FALSE),0)</f>
        <v>0</v>
      </c>
      <c r="K226" s="532">
        <v>0</v>
      </c>
      <c r="L226" s="529">
        <f>IFERROR(VLOOKUP($B226,'3.Tasks'!$BK$4:$BO$23,4,FALSE),0)</f>
        <v>0</v>
      </c>
      <c r="M226" s="532">
        <v>0</v>
      </c>
      <c r="N226" s="529">
        <f>IFERROR(VLOOKUP($B226,'3.Tasks'!$BK$4:$BO$23,5,FALSE),0)</f>
        <v>0</v>
      </c>
      <c r="O226" s="532">
        <v>0</v>
      </c>
      <c r="P226" s="530">
        <f t="shared" si="39"/>
        <v>0</v>
      </c>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row>
    <row r="227" spans="1:64">
      <c r="A227" s="529">
        <f t="shared" si="42"/>
        <v>2</v>
      </c>
      <c r="B227" s="529" t="s">
        <v>823</v>
      </c>
      <c r="C227" s="529" t="s">
        <v>23</v>
      </c>
      <c r="D227" s="529" t="str">
        <f>VLOOKUP(A227,Tabela8[[No.]:[Institution**]],9,FALSE)</f>
        <v>FCiências.ID</v>
      </c>
      <c r="E227" s="531" t="s">
        <v>41</v>
      </c>
      <c r="F227" s="529">
        <f>HLOOKUP(C227,'5.Equipments'!$AJ$2:$BC$22,3,FALSE)</f>
        <v>0</v>
      </c>
      <c r="G227" s="526">
        <f t="shared" si="34"/>
        <v>0</v>
      </c>
      <c r="H227" s="525">
        <f>IFERROR(VLOOKUP($B227,'3.Tasks'!$BK$4:$BO$23,2,FALSE),0)</f>
        <v>0</v>
      </c>
      <c r="I227" s="529">
        <f t="shared" si="40"/>
        <v>0</v>
      </c>
      <c r="J227" s="529">
        <f>IFERROR(VLOOKUP($B227,'3.Tasks'!$BK$4:$BO$23,3,FALSE),0)</f>
        <v>0</v>
      </c>
      <c r="K227" s="532">
        <v>0</v>
      </c>
      <c r="L227" s="529">
        <f>IFERROR(VLOOKUP($B227,'3.Tasks'!$BK$4:$BO$23,4,FALSE),0)</f>
        <v>0</v>
      </c>
      <c r="M227" s="532">
        <v>0</v>
      </c>
      <c r="N227" s="529">
        <f>IFERROR(VLOOKUP($B227,'3.Tasks'!$BK$4:$BO$23,5,FALSE),0)</f>
        <v>0</v>
      </c>
      <c r="O227" s="532">
        <v>0</v>
      </c>
      <c r="P227" s="530">
        <f t="shared" si="39"/>
        <v>0</v>
      </c>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row>
    <row r="228" spans="1:64">
      <c r="A228" s="529">
        <f t="shared" si="42"/>
        <v>2</v>
      </c>
      <c r="B228" s="529" t="s">
        <v>824</v>
      </c>
      <c r="C228" s="529" t="s">
        <v>24</v>
      </c>
      <c r="D228" s="529" t="str">
        <f>VLOOKUP(A228,Tabela8[[No.]:[Institution**]],9,FALSE)</f>
        <v>FCiências.ID</v>
      </c>
      <c r="E228" s="531" t="s">
        <v>41</v>
      </c>
      <c r="F228" s="529">
        <f>HLOOKUP(C228,'5.Equipments'!$AJ$2:$BC$22,3,FALSE)</f>
        <v>0</v>
      </c>
      <c r="G228" s="526">
        <f t="shared" si="34"/>
        <v>0</v>
      </c>
      <c r="H228" s="525">
        <f>IFERROR(VLOOKUP($B228,'3.Tasks'!$BK$4:$BO$23,2,FALSE),0)</f>
        <v>0</v>
      </c>
      <c r="I228" s="529">
        <f t="shared" si="40"/>
        <v>0</v>
      </c>
      <c r="J228" s="529">
        <f>IFERROR(VLOOKUP($B228,'3.Tasks'!$BK$4:$BO$23,3,FALSE),0)</f>
        <v>0</v>
      </c>
      <c r="K228" s="532">
        <v>0</v>
      </c>
      <c r="L228" s="529">
        <f>IFERROR(VLOOKUP($B228,'3.Tasks'!$BK$4:$BO$23,4,FALSE),0)</f>
        <v>0</v>
      </c>
      <c r="M228" s="532">
        <v>0</v>
      </c>
      <c r="N228" s="529">
        <f>IFERROR(VLOOKUP($B228,'3.Tasks'!$BK$4:$BO$23,5,FALSE),0)</f>
        <v>0</v>
      </c>
      <c r="O228" s="532">
        <v>0</v>
      </c>
      <c r="P228" s="530">
        <f t="shared" si="39"/>
        <v>0</v>
      </c>
      <c r="AJ228" s="110"/>
      <c r="AK228" s="110"/>
      <c r="AL228" s="110"/>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row>
    <row r="229" spans="1:64">
      <c r="A229" s="529">
        <f t="shared" si="42"/>
        <v>2</v>
      </c>
      <c r="B229" s="529" t="s">
        <v>825</v>
      </c>
      <c r="C229" s="529" t="s">
        <v>25</v>
      </c>
      <c r="D229" s="529" t="str">
        <f>VLOOKUP(A229,Tabela8[[No.]:[Institution**]],9,FALSE)</f>
        <v>FCiências.ID</v>
      </c>
      <c r="E229" s="531" t="s">
        <v>41</v>
      </c>
      <c r="F229" s="529">
        <f>HLOOKUP(C229,'5.Equipments'!$AJ$2:$BC$22,3,FALSE)</f>
        <v>0</v>
      </c>
      <c r="G229" s="526">
        <f t="shared" si="34"/>
        <v>0</v>
      </c>
      <c r="H229" s="525">
        <f>IFERROR(VLOOKUP($B229,'3.Tasks'!$BK$4:$BO$23,2,FALSE),0)</f>
        <v>0</v>
      </c>
      <c r="I229" s="529">
        <f t="shared" si="40"/>
        <v>0</v>
      </c>
      <c r="J229" s="529">
        <f>IFERROR(VLOOKUP($B229,'3.Tasks'!$BK$4:$BO$23,3,FALSE),0)</f>
        <v>0</v>
      </c>
      <c r="K229" s="532">
        <v>0</v>
      </c>
      <c r="L229" s="529">
        <f>IFERROR(VLOOKUP($B229,'3.Tasks'!$BK$4:$BO$23,4,FALSE),0)</f>
        <v>0</v>
      </c>
      <c r="M229" s="532">
        <v>0</v>
      </c>
      <c r="N229" s="529">
        <f>IFERROR(VLOOKUP($B229,'3.Tasks'!$BK$4:$BO$23,5,FALSE),0)</f>
        <v>0</v>
      </c>
      <c r="O229" s="532">
        <v>0</v>
      </c>
      <c r="P229" s="530">
        <f t="shared" si="39"/>
        <v>0</v>
      </c>
      <c r="AJ229" s="110"/>
      <c r="AK229" s="110"/>
      <c r="AL229" s="110"/>
      <c r="AM229" s="110"/>
      <c r="AN229" s="110"/>
      <c r="AO229" s="110"/>
      <c r="AP229" s="110"/>
      <c r="AQ229" s="110"/>
      <c r="AR229" s="110"/>
      <c r="AS229" s="110"/>
      <c r="AT229" s="110"/>
      <c r="AU229" s="110"/>
      <c r="AV229" s="110"/>
      <c r="AW229" s="110"/>
      <c r="AX229" s="110"/>
      <c r="AY229" s="110"/>
      <c r="AZ229" s="110"/>
      <c r="BA229" s="110"/>
      <c r="BB229" s="110"/>
      <c r="BC229" s="110"/>
      <c r="BD229" s="110"/>
      <c r="BE229" s="110"/>
      <c r="BF229" s="110"/>
      <c r="BG229" s="110"/>
      <c r="BH229" s="110"/>
      <c r="BI229" s="110"/>
      <c r="BJ229" s="110"/>
      <c r="BK229" s="110"/>
      <c r="BL229" s="110"/>
    </row>
    <row r="230" spans="1:64">
      <c r="A230" s="529">
        <f t="shared" si="42"/>
        <v>2</v>
      </c>
      <c r="B230" s="529" t="s">
        <v>826</v>
      </c>
      <c r="C230" s="529" t="s">
        <v>26</v>
      </c>
      <c r="D230" s="529" t="str">
        <f>VLOOKUP(A230,Tabela8[[No.]:[Institution**]],9,FALSE)</f>
        <v>FCiências.ID</v>
      </c>
      <c r="E230" s="531" t="s">
        <v>41</v>
      </c>
      <c r="F230" s="529">
        <f>HLOOKUP(C230,'5.Equipments'!$AJ$2:$BC$22,3,FALSE)</f>
        <v>0</v>
      </c>
      <c r="G230" s="526">
        <f t="shared" si="34"/>
        <v>0</v>
      </c>
      <c r="H230" s="525">
        <f>IFERROR(VLOOKUP($B230,'3.Tasks'!$BK$4:$BO$23,2,FALSE),0)</f>
        <v>0</v>
      </c>
      <c r="I230" s="529">
        <f t="shared" si="40"/>
        <v>0</v>
      </c>
      <c r="J230" s="529">
        <f>IFERROR(VLOOKUP($B230,'3.Tasks'!$BK$4:$BO$23,3,FALSE),0)</f>
        <v>0</v>
      </c>
      <c r="K230" s="532">
        <v>0</v>
      </c>
      <c r="L230" s="529">
        <f>IFERROR(VLOOKUP($B230,'3.Tasks'!$BK$4:$BO$23,4,FALSE),0)</f>
        <v>0</v>
      </c>
      <c r="M230" s="532">
        <v>0</v>
      </c>
      <c r="N230" s="529">
        <f>IFERROR(VLOOKUP($B230,'3.Tasks'!$BK$4:$BO$23,5,FALSE),0)</f>
        <v>0</v>
      </c>
      <c r="O230" s="532">
        <v>0</v>
      </c>
      <c r="P230" s="530">
        <f t="shared" si="39"/>
        <v>0</v>
      </c>
      <c r="AJ230" s="110"/>
      <c r="AK230" s="110"/>
      <c r="AL230" s="110"/>
      <c r="AM230" s="110"/>
      <c r="AN230" s="110"/>
      <c r="AO230" s="110"/>
      <c r="AP230" s="110"/>
      <c r="AQ230" s="110"/>
      <c r="AR230" s="110"/>
      <c r="AS230" s="110"/>
      <c r="AT230" s="110"/>
      <c r="AU230" s="110"/>
      <c r="AV230" s="110"/>
      <c r="AW230" s="110"/>
      <c r="AX230" s="110"/>
      <c r="AY230" s="110"/>
      <c r="AZ230" s="110"/>
      <c r="BA230" s="110"/>
      <c r="BB230" s="110"/>
      <c r="BC230" s="110"/>
      <c r="BD230" s="110"/>
      <c r="BE230" s="110"/>
      <c r="BF230" s="110"/>
      <c r="BG230" s="110"/>
      <c r="BH230" s="110"/>
      <c r="BI230" s="110"/>
      <c r="BJ230" s="110"/>
      <c r="BK230" s="110"/>
      <c r="BL230" s="110"/>
    </row>
    <row r="231" spans="1:64">
      <c r="A231" s="529">
        <f t="shared" si="42"/>
        <v>2</v>
      </c>
      <c r="B231" s="529" t="s">
        <v>827</v>
      </c>
      <c r="C231" s="529" t="s">
        <v>27</v>
      </c>
      <c r="D231" s="529" t="str">
        <f>VLOOKUP(A231,Tabela8[[No.]:[Institution**]],9,FALSE)</f>
        <v>FCiências.ID</v>
      </c>
      <c r="E231" s="531" t="s">
        <v>41</v>
      </c>
      <c r="F231" s="529">
        <f>HLOOKUP(C231,'5.Equipments'!$AJ$2:$BC$22,3,FALSE)</f>
        <v>0</v>
      </c>
      <c r="G231" s="526">
        <f t="shared" si="34"/>
        <v>0</v>
      </c>
      <c r="H231" s="525">
        <f>IFERROR(VLOOKUP($B231,'3.Tasks'!$BK$4:$BO$23,2,FALSE),0)</f>
        <v>0</v>
      </c>
      <c r="I231" s="529">
        <f t="shared" si="40"/>
        <v>0</v>
      </c>
      <c r="J231" s="529">
        <f>IFERROR(VLOOKUP($B231,'3.Tasks'!$BK$4:$BO$23,3,FALSE),0)</f>
        <v>0</v>
      </c>
      <c r="K231" s="532">
        <v>0</v>
      </c>
      <c r="L231" s="529">
        <f>IFERROR(VLOOKUP($B231,'3.Tasks'!$BK$4:$BO$23,4,FALSE),0)</f>
        <v>0</v>
      </c>
      <c r="M231" s="532">
        <v>0</v>
      </c>
      <c r="N231" s="529">
        <f>IFERROR(VLOOKUP($B231,'3.Tasks'!$BK$4:$BO$23,5,FALSE),0)</f>
        <v>0</v>
      </c>
      <c r="O231" s="532">
        <v>0</v>
      </c>
      <c r="P231" s="530">
        <f t="shared" si="39"/>
        <v>0</v>
      </c>
      <c r="AJ231" s="110"/>
      <c r="AK231" s="110"/>
      <c r="AL231" s="110"/>
      <c r="AM231" s="110"/>
      <c r="AN231" s="110"/>
      <c r="AO231" s="110"/>
      <c r="AP231" s="110"/>
      <c r="AQ231" s="110"/>
      <c r="AR231" s="110"/>
      <c r="AS231" s="110"/>
      <c r="AT231" s="110"/>
      <c r="AU231" s="110"/>
      <c r="AV231" s="110"/>
      <c r="AW231" s="110"/>
      <c r="AX231" s="110"/>
      <c r="AY231" s="110"/>
      <c r="AZ231" s="110"/>
      <c r="BA231" s="110"/>
      <c r="BB231" s="110"/>
      <c r="BC231" s="110"/>
      <c r="BD231" s="110"/>
      <c r="BE231" s="110"/>
      <c r="BF231" s="110"/>
      <c r="BG231" s="110"/>
      <c r="BH231" s="110"/>
      <c r="BI231" s="110"/>
      <c r="BJ231" s="110"/>
      <c r="BK231" s="110"/>
      <c r="BL231" s="110"/>
    </row>
    <row r="232" spans="1:64">
      <c r="A232" s="529">
        <f t="shared" si="42"/>
        <v>2</v>
      </c>
      <c r="B232" s="529" t="s">
        <v>828</v>
      </c>
      <c r="C232" s="529" t="s">
        <v>28</v>
      </c>
      <c r="D232" s="529" t="str">
        <f>VLOOKUP(A232,Tabela8[[No.]:[Institution**]],9,FALSE)</f>
        <v>FCiências.ID</v>
      </c>
      <c r="E232" s="531" t="s">
        <v>41</v>
      </c>
      <c r="F232" s="529">
        <f>HLOOKUP(C232,'5.Equipments'!$AJ$2:$BC$22,3,FALSE)</f>
        <v>0</v>
      </c>
      <c r="G232" s="526">
        <f t="shared" si="34"/>
        <v>0</v>
      </c>
      <c r="H232" s="525">
        <f>IFERROR(VLOOKUP($B232,'3.Tasks'!$BK$4:$BO$23,2,FALSE),0)</f>
        <v>0</v>
      </c>
      <c r="I232" s="529">
        <f t="shared" si="40"/>
        <v>0</v>
      </c>
      <c r="J232" s="529">
        <f>IFERROR(VLOOKUP($B232,'3.Tasks'!$BK$4:$BO$23,3,FALSE),0)</f>
        <v>0</v>
      </c>
      <c r="K232" s="532">
        <v>0</v>
      </c>
      <c r="L232" s="529">
        <f>IFERROR(VLOOKUP($B232,'3.Tasks'!$BK$4:$BO$23,4,FALSE),0)</f>
        <v>0</v>
      </c>
      <c r="M232" s="532">
        <v>0</v>
      </c>
      <c r="N232" s="529">
        <f>IFERROR(VLOOKUP($B232,'3.Tasks'!$BK$4:$BO$23,5,FALSE),0)</f>
        <v>0</v>
      </c>
      <c r="O232" s="532">
        <v>0</v>
      </c>
      <c r="P232" s="530">
        <f t="shared" si="39"/>
        <v>0</v>
      </c>
      <c r="AJ232" s="110"/>
      <c r="AK232" s="110"/>
      <c r="AL232" s="110"/>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row>
    <row r="233" spans="1:64">
      <c r="A233" s="529">
        <f t="shared" si="42"/>
        <v>2</v>
      </c>
      <c r="B233" s="529" t="s">
        <v>829</v>
      </c>
      <c r="C233" s="529" t="s">
        <v>29</v>
      </c>
      <c r="D233" s="529" t="str">
        <f>VLOOKUP(A233,Tabela8[[No.]:[Institution**]],9,FALSE)</f>
        <v>FCiências.ID</v>
      </c>
      <c r="E233" s="531" t="s">
        <v>41</v>
      </c>
      <c r="F233" s="529">
        <f>HLOOKUP(C233,'5.Equipments'!$AJ$2:$BC$22,3,FALSE)</f>
        <v>0</v>
      </c>
      <c r="G233" s="526">
        <f t="shared" si="34"/>
        <v>0</v>
      </c>
      <c r="H233" s="525">
        <f>IFERROR(VLOOKUP($B233,'3.Tasks'!$BK$4:$BO$23,2,FALSE),0)</f>
        <v>0</v>
      </c>
      <c r="I233" s="529">
        <f t="shared" si="40"/>
        <v>0</v>
      </c>
      <c r="J233" s="529">
        <f>IFERROR(VLOOKUP($B233,'3.Tasks'!$BK$4:$BO$23,3,FALSE),0)</f>
        <v>0</v>
      </c>
      <c r="K233" s="532">
        <v>0</v>
      </c>
      <c r="L233" s="529">
        <f>IFERROR(VLOOKUP($B233,'3.Tasks'!$BK$4:$BO$23,4,FALSE),0)</f>
        <v>0</v>
      </c>
      <c r="M233" s="532">
        <v>0</v>
      </c>
      <c r="N233" s="529">
        <f>IFERROR(VLOOKUP($B233,'3.Tasks'!$BK$4:$BO$23,5,FALSE),0)</f>
        <v>0</v>
      </c>
      <c r="O233" s="532">
        <v>0</v>
      </c>
      <c r="P233" s="530">
        <f t="shared" si="39"/>
        <v>0</v>
      </c>
      <c r="AJ233" s="110"/>
      <c r="AK233" s="110"/>
      <c r="AL233" s="110"/>
      <c r="AM233" s="110"/>
      <c r="AN233" s="110"/>
      <c r="AO233" s="110"/>
      <c r="AP233" s="110"/>
      <c r="AQ233" s="110"/>
      <c r="AR233" s="110"/>
      <c r="AS233" s="110"/>
      <c r="AT233" s="110"/>
      <c r="AU233" s="110"/>
      <c r="AV233" s="110"/>
      <c r="AW233" s="110"/>
      <c r="AX233" s="110"/>
      <c r="AY233" s="110"/>
      <c r="AZ233" s="110"/>
      <c r="BA233" s="110"/>
      <c r="BB233" s="110"/>
      <c r="BC233" s="110"/>
      <c r="BD233" s="110"/>
      <c r="BE233" s="110"/>
      <c r="BF233" s="110"/>
      <c r="BG233" s="110"/>
      <c r="BH233" s="110"/>
      <c r="BI233" s="110"/>
      <c r="BJ233" s="110"/>
      <c r="BK233" s="110"/>
      <c r="BL233" s="110"/>
    </row>
    <row r="234" spans="1:64">
      <c r="A234" s="529">
        <f t="shared" si="42"/>
        <v>2</v>
      </c>
      <c r="B234" s="529" t="s">
        <v>830</v>
      </c>
      <c r="C234" s="529" t="s">
        <v>30</v>
      </c>
      <c r="D234" s="529" t="str">
        <f>VLOOKUP(A234,Tabela8[[No.]:[Institution**]],9,FALSE)</f>
        <v>FCiências.ID</v>
      </c>
      <c r="E234" s="531" t="s">
        <v>41</v>
      </c>
      <c r="F234" s="529">
        <f>HLOOKUP(C234,'5.Equipments'!$AJ$2:$BC$22,3,FALSE)</f>
        <v>0</v>
      </c>
      <c r="G234" s="526">
        <f t="shared" si="34"/>
        <v>0</v>
      </c>
      <c r="H234" s="525">
        <f>IFERROR(VLOOKUP($B234,'3.Tasks'!$BK$4:$BO$23,2,FALSE),0)</f>
        <v>0</v>
      </c>
      <c r="I234" s="529">
        <f t="shared" si="40"/>
        <v>0</v>
      </c>
      <c r="J234" s="529">
        <f>IFERROR(VLOOKUP($B234,'3.Tasks'!$BK$4:$BO$23,3,FALSE),0)</f>
        <v>0</v>
      </c>
      <c r="K234" s="532">
        <v>0</v>
      </c>
      <c r="L234" s="529">
        <f>IFERROR(VLOOKUP($B234,'3.Tasks'!$BK$4:$BO$23,4,FALSE),0)</f>
        <v>0</v>
      </c>
      <c r="M234" s="532">
        <v>0</v>
      </c>
      <c r="N234" s="529">
        <f>IFERROR(VLOOKUP($B234,'3.Tasks'!$BK$4:$BO$23,5,FALSE),0)</f>
        <v>0</v>
      </c>
      <c r="O234" s="532">
        <v>0</v>
      </c>
      <c r="P234" s="530">
        <f t="shared" si="39"/>
        <v>0</v>
      </c>
      <c r="AJ234" s="110"/>
      <c r="AK234" s="110"/>
      <c r="AL234" s="110"/>
      <c r="AM234" s="110"/>
      <c r="AN234" s="110"/>
      <c r="AO234" s="110"/>
      <c r="AP234" s="110"/>
      <c r="AQ234" s="110"/>
      <c r="AR234" s="110"/>
      <c r="AS234" s="110"/>
      <c r="AT234" s="110"/>
      <c r="AU234" s="110"/>
      <c r="AV234" s="110"/>
      <c r="AW234" s="110"/>
      <c r="AX234" s="110"/>
      <c r="AY234" s="110"/>
      <c r="AZ234" s="110"/>
      <c r="BA234" s="110"/>
      <c r="BB234" s="110"/>
      <c r="BC234" s="110"/>
      <c r="BD234" s="110"/>
      <c r="BE234" s="110"/>
      <c r="BF234" s="110"/>
      <c r="BG234" s="110"/>
      <c r="BH234" s="110"/>
      <c r="BI234" s="110"/>
      <c r="BJ234" s="110"/>
      <c r="BK234" s="110"/>
      <c r="BL234" s="110"/>
    </row>
    <row r="235" spans="1:64">
      <c r="A235" s="529">
        <f t="shared" si="42"/>
        <v>2</v>
      </c>
      <c r="B235" s="529" t="s">
        <v>831</v>
      </c>
      <c r="C235" s="529" t="s">
        <v>31</v>
      </c>
      <c r="D235" s="529" t="str">
        <f>VLOOKUP(A235,Tabela8[[No.]:[Institution**]],9,FALSE)</f>
        <v>FCiências.ID</v>
      </c>
      <c r="E235" s="531" t="s">
        <v>41</v>
      </c>
      <c r="F235" s="529">
        <f>HLOOKUP(C235,'5.Equipments'!$AJ$2:$BC$22,3,FALSE)</f>
        <v>0</v>
      </c>
      <c r="G235" s="526">
        <f t="shared" si="34"/>
        <v>0</v>
      </c>
      <c r="H235" s="525">
        <f>IFERROR(VLOOKUP($B235,'3.Tasks'!$BK$4:$BO$23,2,FALSE),0)</f>
        <v>0</v>
      </c>
      <c r="I235" s="529">
        <f t="shared" si="40"/>
        <v>0</v>
      </c>
      <c r="J235" s="529">
        <f>IFERROR(VLOOKUP($B235,'3.Tasks'!$BK$4:$BO$23,3,FALSE),0)</f>
        <v>0</v>
      </c>
      <c r="K235" s="532">
        <v>0</v>
      </c>
      <c r="L235" s="529">
        <f>IFERROR(VLOOKUP($B235,'3.Tasks'!$BK$4:$BO$23,4,FALSE),0)</f>
        <v>0</v>
      </c>
      <c r="M235" s="532">
        <v>0</v>
      </c>
      <c r="N235" s="529">
        <f>IFERROR(VLOOKUP($B235,'3.Tasks'!$BK$4:$BO$23,5,FALSE),0)</f>
        <v>0</v>
      </c>
      <c r="O235" s="532">
        <v>0</v>
      </c>
      <c r="P235" s="530">
        <f t="shared" si="39"/>
        <v>0</v>
      </c>
      <c r="AJ235" s="110"/>
      <c r="AK235" s="110"/>
      <c r="AL235" s="110"/>
      <c r="AM235" s="110"/>
      <c r="AN235" s="110"/>
      <c r="AO235" s="110"/>
      <c r="AP235" s="110"/>
      <c r="AQ235" s="110"/>
      <c r="AR235" s="110"/>
      <c r="AS235" s="110"/>
      <c r="AT235" s="110"/>
      <c r="AU235" s="110"/>
      <c r="AV235" s="110"/>
      <c r="AW235" s="110"/>
      <c r="AX235" s="110"/>
      <c r="AY235" s="110"/>
      <c r="AZ235" s="110"/>
      <c r="BA235" s="110"/>
      <c r="BB235" s="110"/>
      <c r="BC235" s="110"/>
      <c r="BD235" s="110"/>
      <c r="BE235" s="110"/>
      <c r="BF235" s="110"/>
      <c r="BG235" s="110"/>
      <c r="BH235" s="110"/>
      <c r="BI235" s="110"/>
      <c r="BJ235" s="110"/>
      <c r="BK235" s="110"/>
      <c r="BL235" s="110"/>
    </row>
    <row r="236" spans="1:64">
      <c r="A236" s="529">
        <f t="shared" si="42"/>
        <v>2</v>
      </c>
      <c r="B236" s="529" t="s">
        <v>832</v>
      </c>
      <c r="C236" s="529" t="s">
        <v>32</v>
      </c>
      <c r="D236" s="529" t="str">
        <f>VLOOKUP(A236,Tabela8[[No.]:[Institution**]],9,FALSE)</f>
        <v>FCiências.ID</v>
      </c>
      <c r="E236" s="531" t="s">
        <v>41</v>
      </c>
      <c r="F236" s="529">
        <f>HLOOKUP(C236,'5.Equipments'!$AJ$2:$BC$22,3,FALSE)</f>
        <v>0</v>
      </c>
      <c r="G236" s="526">
        <f t="shared" si="34"/>
        <v>0</v>
      </c>
      <c r="H236" s="525">
        <f>IFERROR(VLOOKUP($B236,'3.Tasks'!$BK$4:$BO$23,2,FALSE),0)</f>
        <v>0</v>
      </c>
      <c r="I236" s="529">
        <f t="shared" si="40"/>
        <v>0</v>
      </c>
      <c r="J236" s="529">
        <f>IFERROR(VLOOKUP($B236,'3.Tasks'!$BK$4:$BO$23,3,FALSE),0)</f>
        <v>0</v>
      </c>
      <c r="K236" s="532">
        <v>0</v>
      </c>
      <c r="L236" s="529">
        <f>IFERROR(VLOOKUP($B236,'3.Tasks'!$BK$4:$BO$23,4,FALSE),0)</f>
        <v>0</v>
      </c>
      <c r="M236" s="532">
        <v>0</v>
      </c>
      <c r="N236" s="529">
        <f>IFERROR(VLOOKUP($B236,'3.Tasks'!$BK$4:$BO$23,5,FALSE),0)</f>
        <v>0</v>
      </c>
      <c r="O236" s="532">
        <v>0</v>
      </c>
      <c r="P236" s="530">
        <f t="shared" si="39"/>
        <v>0</v>
      </c>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row>
    <row r="237" spans="1:64">
      <c r="A237" s="529">
        <f t="shared" si="42"/>
        <v>2</v>
      </c>
      <c r="B237" s="529" t="s">
        <v>833</v>
      </c>
      <c r="C237" s="529" t="s">
        <v>33</v>
      </c>
      <c r="D237" s="529" t="str">
        <f>VLOOKUP(A237,Tabela8[[No.]:[Institution**]],9,FALSE)</f>
        <v>FCiências.ID</v>
      </c>
      <c r="E237" s="531" t="s">
        <v>41</v>
      </c>
      <c r="F237" s="529">
        <f>HLOOKUP(C237,'5.Equipments'!$AJ$2:$BC$22,3,FALSE)</f>
        <v>0</v>
      </c>
      <c r="G237" s="526">
        <f t="shared" si="34"/>
        <v>0</v>
      </c>
      <c r="H237" s="525">
        <f>IFERROR(VLOOKUP($B237,'3.Tasks'!$BK$4:$BO$23,2,FALSE),0)</f>
        <v>0</v>
      </c>
      <c r="I237" s="529">
        <f t="shared" si="40"/>
        <v>0</v>
      </c>
      <c r="J237" s="529">
        <f>IFERROR(VLOOKUP($B237,'3.Tasks'!$BK$4:$BO$23,3,FALSE),0)</f>
        <v>0</v>
      </c>
      <c r="K237" s="532">
        <v>0</v>
      </c>
      <c r="L237" s="529">
        <f>IFERROR(VLOOKUP($B237,'3.Tasks'!$BK$4:$BO$23,4,FALSE),0)</f>
        <v>0</v>
      </c>
      <c r="M237" s="532">
        <v>0</v>
      </c>
      <c r="N237" s="529">
        <f>IFERROR(VLOOKUP($B237,'3.Tasks'!$BK$4:$BO$23,5,FALSE),0)</f>
        <v>0</v>
      </c>
      <c r="O237" s="532">
        <v>0</v>
      </c>
      <c r="P237" s="530">
        <f t="shared" si="39"/>
        <v>0</v>
      </c>
      <c r="AJ237" s="110"/>
      <c r="AK237" s="110"/>
      <c r="AL237" s="110"/>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row>
    <row r="238" spans="1:64">
      <c r="A238" s="529">
        <f t="shared" si="42"/>
        <v>2</v>
      </c>
      <c r="B238" s="529" t="s">
        <v>834</v>
      </c>
      <c r="C238" s="529" t="s">
        <v>34</v>
      </c>
      <c r="D238" s="529" t="str">
        <f>VLOOKUP(A238,Tabela8[[No.]:[Institution**]],9,FALSE)</f>
        <v>FCiências.ID</v>
      </c>
      <c r="E238" s="531" t="s">
        <v>41</v>
      </c>
      <c r="F238" s="529">
        <f>HLOOKUP(C238,'5.Equipments'!$AJ$2:$BC$22,3,FALSE)</f>
        <v>0</v>
      </c>
      <c r="G238" s="526">
        <f t="shared" si="34"/>
        <v>0</v>
      </c>
      <c r="H238" s="525">
        <f>IFERROR(VLOOKUP($B238,'3.Tasks'!$BK$4:$BO$23,2,FALSE),0)</f>
        <v>0</v>
      </c>
      <c r="I238" s="529">
        <f t="shared" si="40"/>
        <v>0</v>
      </c>
      <c r="J238" s="529">
        <f>IFERROR(VLOOKUP($B238,'3.Tasks'!$BK$4:$BO$23,3,FALSE),0)</f>
        <v>0</v>
      </c>
      <c r="K238" s="532">
        <v>0</v>
      </c>
      <c r="L238" s="529">
        <f>IFERROR(VLOOKUP($B238,'3.Tasks'!$BK$4:$BO$23,4,FALSE),0)</f>
        <v>0</v>
      </c>
      <c r="M238" s="532">
        <v>0</v>
      </c>
      <c r="N238" s="529">
        <f>IFERROR(VLOOKUP($B238,'3.Tasks'!$BK$4:$BO$23,5,FALSE),0)</f>
        <v>0</v>
      </c>
      <c r="O238" s="532">
        <v>0</v>
      </c>
      <c r="P238" s="530">
        <f t="shared" si="39"/>
        <v>0</v>
      </c>
      <c r="AJ238" s="110"/>
      <c r="AK238" s="110"/>
      <c r="AL238" s="110"/>
      <c r="AM238" s="110"/>
      <c r="AN238" s="110"/>
      <c r="AO238" s="110"/>
      <c r="AP238" s="110"/>
      <c r="AQ238" s="110"/>
      <c r="AR238" s="110"/>
      <c r="AS238" s="110"/>
      <c r="AT238" s="110"/>
      <c r="AU238" s="110"/>
      <c r="AV238" s="110"/>
      <c r="AW238" s="110"/>
      <c r="AX238" s="110"/>
      <c r="AY238" s="110"/>
      <c r="AZ238" s="110"/>
      <c r="BA238" s="110"/>
      <c r="BB238" s="110"/>
      <c r="BC238" s="110"/>
      <c r="BD238" s="110"/>
      <c r="BE238" s="110"/>
      <c r="BF238" s="110"/>
      <c r="BG238" s="110"/>
      <c r="BH238" s="110"/>
      <c r="BI238" s="110"/>
      <c r="BJ238" s="110"/>
      <c r="BK238" s="110"/>
      <c r="BL238" s="110"/>
    </row>
    <row r="239" spans="1:64">
      <c r="A239" s="529">
        <f t="shared" si="42"/>
        <v>2</v>
      </c>
      <c r="B239" s="529" t="s">
        <v>835</v>
      </c>
      <c r="C239" s="529" t="s">
        <v>35</v>
      </c>
      <c r="D239" s="529" t="str">
        <f>VLOOKUP(A239,Tabela8[[No.]:[Institution**]],9,FALSE)</f>
        <v>FCiências.ID</v>
      </c>
      <c r="E239" s="531" t="s">
        <v>41</v>
      </c>
      <c r="F239" s="529">
        <f>HLOOKUP(C239,'5.Equipments'!$AJ$2:$BC$22,3,FALSE)</f>
        <v>0</v>
      </c>
      <c r="G239" s="526">
        <f t="shared" si="34"/>
        <v>0</v>
      </c>
      <c r="H239" s="525">
        <f>IFERROR(VLOOKUP($B239,'3.Tasks'!$BK$4:$BO$23,2,FALSE),0)</f>
        <v>0</v>
      </c>
      <c r="I239" s="529">
        <f t="shared" si="40"/>
        <v>0</v>
      </c>
      <c r="J239" s="529">
        <f>IFERROR(VLOOKUP($B239,'3.Tasks'!$BK$4:$BO$23,3,FALSE),0)</f>
        <v>0</v>
      </c>
      <c r="K239" s="532">
        <v>0</v>
      </c>
      <c r="L239" s="529">
        <f>IFERROR(VLOOKUP($B239,'3.Tasks'!$BK$4:$BO$23,4,FALSE),0)</f>
        <v>0</v>
      </c>
      <c r="M239" s="532">
        <v>0</v>
      </c>
      <c r="N239" s="529">
        <f>IFERROR(VLOOKUP($B239,'3.Tasks'!$BK$4:$BO$23,5,FALSE),0)</f>
        <v>0</v>
      </c>
      <c r="O239" s="532">
        <v>0</v>
      </c>
      <c r="P239" s="530">
        <f t="shared" si="39"/>
        <v>0</v>
      </c>
      <c r="AJ239" s="110"/>
      <c r="AK239" s="110"/>
      <c r="AL239" s="110"/>
      <c r="AM239" s="110"/>
      <c r="AN239" s="110"/>
      <c r="AO239" s="110"/>
      <c r="AP239" s="110"/>
      <c r="AQ239" s="110"/>
      <c r="AR239" s="110"/>
      <c r="AS239" s="110"/>
      <c r="AT239" s="110"/>
      <c r="AU239" s="110"/>
      <c r="AV239" s="110"/>
      <c r="AW239" s="110"/>
      <c r="AX239" s="110"/>
      <c r="AY239" s="110"/>
      <c r="AZ239" s="110"/>
      <c r="BA239" s="110"/>
      <c r="BB239" s="110"/>
      <c r="BC239" s="110"/>
      <c r="BD239" s="110"/>
      <c r="BE239" s="110"/>
      <c r="BF239" s="110"/>
      <c r="BG239" s="110"/>
      <c r="BH239" s="110"/>
      <c r="BI239" s="110"/>
      <c r="BJ239" s="110"/>
      <c r="BK239" s="110"/>
      <c r="BL239" s="110"/>
    </row>
    <row r="240" spans="1:64">
      <c r="A240" s="529">
        <f t="shared" si="42"/>
        <v>2</v>
      </c>
      <c r="B240" s="529" t="s">
        <v>836</v>
      </c>
      <c r="C240" s="529" t="s">
        <v>36</v>
      </c>
      <c r="D240" s="529" t="str">
        <f>VLOOKUP(A240,Tabela8[[No.]:[Institution**]],9,FALSE)</f>
        <v>FCiências.ID</v>
      </c>
      <c r="E240" s="531" t="s">
        <v>41</v>
      </c>
      <c r="F240" s="529">
        <f>HLOOKUP(C240,'5.Equipments'!$AJ$2:$BC$22,3,FALSE)</f>
        <v>0</v>
      </c>
      <c r="G240" s="526">
        <f t="shared" si="34"/>
        <v>0</v>
      </c>
      <c r="H240" s="525">
        <f>IFERROR(VLOOKUP($B240,'3.Tasks'!$BK$4:$BO$23,2,FALSE),0)</f>
        <v>0</v>
      </c>
      <c r="I240" s="529">
        <f t="shared" si="40"/>
        <v>0</v>
      </c>
      <c r="J240" s="529">
        <f>IFERROR(VLOOKUP($B240,'3.Tasks'!$BK$4:$BO$23,3,FALSE),0)</f>
        <v>0</v>
      </c>
      <c r="K240" s="532">
        <v>0</v>
      </c>
      <c r="L240" s="529">
        <f>IFERROR(VLOOKUP($B240,'3.Tasks'!$BK$4:$BO$23,4,FALSE),0)</f>
        <v>0</v>
      </c>
      <c r="M240" s="532">
        <v>0</v>
      </c>
      <c r="N240" s="529">
        <f>IFERROR(VLOOKUP($B240,'3.Tasks'!$BK$4:$BO$23,5,FALSE),0)</f>
        <v>0</v>
      </c>
      <c r="O240" s="532">
        <v>0</v>
      </c>
      <c r="P240" s="530">
        <f t="shared" si="39"/>
        <v>0</v>
      </c>
      <c r="AJ240" s="110"/>
      <c r="AK240" s="110"/>
      <c r="AL240" s="110"/>
      <c r="AM240" s="110"/>
      <c r="AN240" s="110"/>
      <c r="AO240" s="110"/>
      <c r="AP240" s="110"/>
      <c r="AQ240" s="110"/>
      <c r="AR240" s="110"/>
      <c r="AS240" s="110"/>
      <c r="AT240" s="110"/>
      <c r="AU240" s="110"/>
      <c r="AV240" s="110"/>
      <c r="AW240" s="110"/>
      <c r="AX240" s="110"/>
      <c r="AY240" s="110"/>
      <c r="AZ240" s="110"/>
      <c r="BA240" s="110"/>
      <c r="BB240" s="110"/>
      <c r="BC240" s="110"/>
      <c r="BD240" s="110"/>
      <c r="BE240" s="110"/>
      <c r="BF240" s="110"/>
      <c r="BG240" s="110"/>
      <c r="BH240" s="110"/>
      <c r="BI240" s="110"/>
      <c r="BJ240" s="110"/>
      <c r="BK240" s="110"/>
      <c r="BL240" s="110"/>
    </row>
    <row r="241" spans="1:64">
      <c r="A241" s="529">
        <f t="shared" si="42"/>
        <v>2</v>
      </c>
      <c r="B241" s="529" t="s">
        <v>837</v>
      </c>
      <c r="C241" s="529" t="s">
        <v>37</v>
      </c>
      <c r="D241" s="529" t="str">
        <f>VLOOKUP(A241,Tabela8[[No.]:[Institution**]],9,FALSE)</f>
        <v>FCiências.ID</v>
      </c>
      <c r="E241" s="531" t="s">
        <v>41</v>
      </c>
      <c r="F241" s="529">
        <f>HLOOKUP(C241,'5.Equipments'!$AJ$2:$BC$22,3,FALSE)</f>
        <v>0</v>
      </c>
      <c r="G241" s="526">
        <f t="shared" si="34"/>
        <v>0</v>
      </c>
      <c r="H241" s="525">
        <f>IFERROR(VLOOKUP($B241,'3.Tasks'!$BK$4:$BO$23,2,FALSE),0)</f>
        <v>0</v>
      </c>
      <c r="I241" s="529">
        <f t="shared" si="40"/>
        <v>0</v>
      </c>
      <c r="J241" s="529">
        <f>IFERROR(VLOOKUP($B241,'3.Tasks'!$BK$4:$BO$23,3,FALSE),0)</f>
        <v>0</v>
      </c>
      <c r="K241" s="532">
        <v>0</v>
      </c>
      <c r="L241" s="529">
        <f>IFERROR(VLOOKUP($B241,'3.Tasks'!$BK$4:$BO$23,4,FALSE),0)</f>
        <v>0</v>
      </c>
      <c r="M241" s="532">
        <v>0</v>
      </c>
      <c r="N241" s="529">
        <f>IFERROR(VLOOKUP($B241,'3.Tasks'!$BK$4:$BO$23,5,FALSE),0)</f>
        <v>0</v>
      </c>
      <c r="O241" s="532">
        <v>0</v>
      </c>
      <c r="P241" s="530">
        <f t="shared" si="39"/>
        <v>0</v>
      </c>
      <c r="AJ241" s="110"/>
      <c r="AK241" s="110"/>
      <c r="AL241" s="110"/>
      <c r="AM241" s="110"/>
      <c r="AN241" s="110"/>
      <c r="AO241" s="110"/>
      <c r="AP241" s="110"/>
      <c r="AQ241" s="110"/>
      <c r="AR241" s="110"/>
      <c r="AS241" s="110"/>
      <c r="AT241" s="110"/>
      <c r="AU241" s="110"/>
      <c r="AV241" s="110"/>
      <c r="AW241" s="110"/>
      <c r="AX241" s="110"/>
      <c r="AY241" s="110"/>
      <c r="AZ241" s="110"/>
      <c r="BA241" s="110"/>
      <c r="BB241" s="110"/>
      <c r="BC241" s="110"/>
      <c r="BD241" s="110"/>
      <c r="BE241" s="110"/>
      <c r="BF241" s="110"/>
      <c r="BG241" s="110"/>
      <c r="BH241" s="110"/>
      <c r="BI241" s="110"/>
      <c r="BJ241" s="110"/>
      <c r="BK241" s="110"/>
      <c r="BL241" s="110"/>
    </row>
    <row r="242" spans="1:64">
      <c r="A242" s="529">
        <v>3</v>
      </c>
      <c r="B242" s="529" t="s">
        <v>818</v>
      </c>
      <c r="C242" s="529" t="s">
        <v>18</v>
      </c>
      <c r="D242" s="529" t="str">
        <f>VLOOKUP(A242,Tabela8[[No.]:[Institution**]],9,FALSE)</f>
        <v>FCiências.ID</v>
      </c>
      <c r="E242" s="531" t="s">
        <v>41</v>
      </c>
      <c r="F242" s="529">
        <f>HLOOKUP(C242,'5.Equipments'!$AJ$2:$BC$22,(A242+1),FALSE)</f>
        <v>0</v>
      </c>
      <c r="G242" s="526">
        <f t="shared" si="34"/>
        <v>0</v>
      </c>
      <c r="H242" s="525">
        <f>IFERROR(VLOOKUP($B242,'3.Tasks'!$BK$4:$BO$23,2,FALSE),0)</f>
        <v>0</v>
      </c>
      <c r="I242" s="529">
        <f t="shared" si="40"/>
        <v>0</v>
      </c>
      <c r="J242" s="529">
        <f>IFERROR(VLOOKUP($B242,'3.Tasks'!$BK$4:$BO$23,3,FALSE),0)</f>
        <v>0</v>
      </c>
      <c r="K242" s="532">
        <v>0</v>
      </c>
      <c r="L242" s="529">
        <f>IFERROR(VLOOKUP($B242,'3.Tasks'!$BK$4:$BO$23,4,FALSE),0)</f>
        <v>0</v>
      </c>
      <c r="M242" s="532">
        <v>0</v>
      </c>
      <c r="N242" s="529">
        <f>IFERROR(VLOOKUP($B242,'3.Tasks'!$BK$4:$BO$23,5,FALSE),0)</f>
        <v>0</v>
      </c>
      <c r="O242" s="532">
        <v>0</v>
      </c>
      <c r="P242" s="530">
        <f t="shared" si="39"/>
        <v>0</v>
      </c>
      <c r="AJ242" s="110"/>
      <c r="AK242" s="110"/>
      <c r="AL242" s="110"/>
      <c r="AM242" s="110"/>
      <c r="AN242" s="110"/>
      <c r="AO242" s="110"/>
      <c r="AP242" s="110"/>
      <c r="AQ242" s="110"/>
      <c r="AR242" s="110"/>
      <c r="AS242" s="110"/>
      <c r="AT242" s="110"/>
      <c r="AU242" s="110"/>
      <c r="AV242" s="110"/>
      <c r="AW242" s="110"/>
      <c r="AX242" s="110"/>
      <c r="AY242" s="110"/>
      <c r="AZ242" s="110"/>
      <c r="BA242" s="110"/>
      <c r="BB242" s="110"/>
      <c r="BC242" s="110"/>
      <c r="BD242" s="110"/>
      <c r="BE242" s="110"/>
      <c r="BF242" s="110"/>
      <c r="BG242" s="110"/>
      <c r="BH242" s="110"/>
      <c r="BI242" s="110"/>
      <c r="BJ242" s="110"/>
      <c r="BK242" s="110"/>
      <c r="BL242" s="110"/>
    </row>
    <row r="243" spans="1:64">
      <c r="A243" s="529">
        <f>+A242</f>
        <v>3</v>
      </c>
      <c r="B243" s="529" t="s">
        <v>819</v>
      </c>
      <c r="C243" s="529" t="s">
        <v>19</v>
      </c>
      <c r="D243" s="529" t="str">
        <f>VLOOKUP(A243,Tabela8[[No.]:[Institution**]],9,FALSE)</f>
        <v>FCiências.ID</v>
      </c>
      <c r="E243" s="531" t="s">
        <v>41</v>
      </c>
      <c r="F243" s="529">
        <f>HLOOKUP(C243,'5.Equipments'!$AJ$2:$BC$22,(A243+1),FALSE)</f>
        <v>0</v>
      </c>
      <c r="G243" s="526">
        <f t="shared" si="34"/>
        <v>0</v>
      </c>
      <c r="H243" s="525">
        <f>IFERROR(VLOOKUP($B243,'3.Tasks'!$BK$4:$BO$23,2,FALSE),0)</f>
        <v>0</v>
      </c>
      <c r="I243" s="529">
        <f t="shared" si="40"/>
        <v>0</v>
      </c>
      <c r="J243" s="529">
        <f>IFERROR(VLOOKUP($B243,'3.Tasks'!$BK$4:$BO$23,3,FALSE),0)</f>
        <v>0</v>
      </c>
      <c r="K243" s="532">
        <v>0</v>
      </c>
      <c r="L243" s="529">
        <f>IFERROR(VLOOKUP($B243,'3.Tasks'!$BK$4:$BO$23,4,FALSE),0)</f>
        <v>0</v>
      </c>
      <c r="M243" s="532">
        <v>0</v>
      </c>
      <c r="N243" s="529">
        <f>IFERROR(VLOOKUP($B243,'3.Tasks'!$BK$4:$BO$23,5,FALSE),0)</f>
        <v>0</v>
      </c>
      <c r="O243" s="532">
        <v>0</v>
      </c>
      <c r="P243" s="530">
        <f t="shared" si="39"/>
        <v>0</v>
      </c>
      <c r="AJ243" s="110"/>
      <c r="AK243" s="110"/>
      <c r="AL243" s="110"/>
      <c r="AM243" s="110"/>
      <c r="AN243" s="110"/>
      <c r="AO243" s="110"/>
      <c r="AP243" s="110"/>
      <c r="AQ243" s="110"/>
      <c r="AR243" s="110"/>
      <c r="AS243" s="110"/>
      <c r="AT243" s="110"/>
      <c r="AU243" s="110"/>
      <c r="AV243" s="110"/>
      <c r="AW243" s="110"/>
      <c r="AX243" s="110"/>
      <c r="AY243" s="110"/>
      <c r="AZ243" s="110"/>
      <c r="BA243" s="110"/>
      <c r="BB243" s="110"/>
      <c r="BC243" s="110"/>
      <c r="BD243" s="110"/>
      <c r="BE243" s="110"/>
      <c r="BF243" s="110"/>
      <c r="BG243" s="110"/>
      <c r="BH243" s="110"/>
      <c r="BI243" s="110"/>
      <c r="BJ243" s="110"/>
      <c r="BK243" s="110"/>
      <c r="BL243" s="110"/>
    </row>
    <row r="244" spans="1:64">
      <c r="A244" s="529">
        <f t="shared" ref="A244:A261" si="43">+A243</f>
        <v>3</v>
      </c>
      <c r="B244" s="529" t="s">
        <v>820</v>
      </c>
      <c r="C244" s="529" t="s">
        <v>20</v>
      </c>
      <c r="D244" s="529" t="str">
        <f>VLOOKUP(A244,Tabela8[[No.]:[Institution**]],9,FALSE)</f>
        <v>FCiências.ID</v>
      </c>
      <c r="E244" s="531" t="s">
        <v>41</v>
      </c>
      <c r="F244" s="529">
        <f>HLOOKUP(C244,'5.Equipments'!$AJ$2:$BC$22,(A244+1),FALSE)</f>
        <v>0</v>
      </c>
      <c r="G244" s="526">
        <f t="shared" si="34"/>
        <v>0</v>
      </c>
      <c r="H244" s="525">
        <f>IFERROR(VLOOKUP($B244,'3.Tasks'!$BK$4:$BO$23,2,FALSE),0)</f>
        <v>0</v>
      </c>
      <c r="I244" s="529">
        <f t="shared" si="40"/>
        <v>0</v>
      </c>
      <c r="J244" s="529">
        <f>IFERROR(VLOOKUP($B244,'3.Tasks'!$BK$4:$BO$23,3,FALSE),0)</f>
        <v>0</v>
      </c>
      <c r="K244" s="532">
        <v>0</v>
      </c>
      <c r="L244" s="529">
        <f>IFERROR(VLOOKUP($B244,'3.Tasks'!$BK$4:$BO$23,4,FALSE),0)</f>
        <v>0</v>
      </c>
      <c r="M244" s="532">
        <v>0</v>
      </c>
      <c r="N244" s="529">
        <f>IFERROR(VLOOKUP($B244,'3.Tasks'!$BK$4:$BO$23,5,FALSE),0)</f>
        <v>0</v>
      </c>
      <c r="O244" s="532">
        <v>0</v>
      </c>
      <c r="P244" s="530">
        <f t="shared" si="39"/>
        <v>0</v>
      </c>
      <c r="AJ244" s="110"/>
      <c r="AK244" s="110"/>
      <c r="AL244" s="110"/>
      <c r="AM244" s="110"/>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row>
    <row r="245" spans="1:64">
      <c r="A245" s="529">
        <f t="shared" si="43"/>
        <v>3</v>
      </c>
      <c r="B245" s="529" t="s">
        <v>821</v>
      </c>
      <c r="C245" s="529" t="s">
        <v>21</v>
      </c>
      <c r="D245" s="529" t="str">
        <f>VLOOKUP(A245,Tabela8[[No.]:[Institution**]],9,FALSE)</f>
        <v>FCiências.ID</v>
      </c>
      <c r="E245" s="531" t="s">
        <v>41</v>
      </c>
      <c r="F245" s="529">
        <f>HLOOKUP(C245,'5.Equipments'!$AJ$2:$BC$22,(A245+1),FALSE)</f>
        <v>0</v>
      </c>
      <c r="G245" s="526">
        <f t="shared" si="34"/>
        <v>0</v>
      </c>
      <c r="H245" s="525">
        <f>IFERROR(VLOOKUP($B245,'3.Tasks'!$BK$4:$BO$23,2,FALSE),0)</f>
        <v>0</v>
      </c>
      <c r="I245" s="529">
        <f t="shared" si="40"/>
        <v>0</v>
      </c>
      <c r="J245" s="529">
        <f>IFERROR(VLOOKUP($B245,'3.Tasks'!$BK$4:$BO$23,3,FALSE),0)</f>
        <v>0</v>
      </c>
      <c r="K245" s="532">
        <v>0</v>
      </c>
      <c r="L245" s="529">
        <f>IFERROR(VLOOKUP($B245,'3.Tasks'!$BK$4:$BO$23,4,FALSE),0)</f>
        <v>0</v>
      </c>
      <c r="M245" s="532">
        <v>0</v>
      </c>
      <c r="N245" s="529">
        <f>IFERROR(VLOOKUP($B245,'3.Tasks'!$BK$4:$BO$23,5,FALSE),0)</f>
        <v>0</v>
      </c>
      <c r="O245" s="532">
        <v>0</v>
      </c>
      <c r="P245" s="530">
        <f t="shared" si="39"/>
        <v>0</v>
      </c>
      <c r="AJ245" s="110"/>
      <c r="AK245" s="110"/>
      <c r="AL245" s="110"/>
      <c r="AM245" s="110"/>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row>
    <row r="246" spans="1:64">
      <c r="A246" s="529">
        <f t="shared" si="43"/>
        <v>3</v>
      </c>
      <c r="B246" s="529" t="s">
        <v>822</v>
      </c>
      <c r="C246" s="529" t="s">
        <v>22</v>
      </c>
      <c r="D246" s="529" t="str">
        <f>VLOOKUP(A246,Tabela8[[No.]:[Institution**]],9,FALSE)</f>
        <v>FCiências.ID</v>
      </c>
      <c r="E246" s="531" t="s">
        <v>41</v>
      </c>
      <c r="F246" s="529">
        <f>HLOOKUP(C246,'5.Equipments'!$AJ$2:$BC$22,(A246+1),FALSE)</f>
        <v>0</v>
      </c>
      <c r="G246" s="526">
        <f t="shared" si="34"/>
        <v>0</v>
      </c>
      <c r="H246" s="525">
        <f>IFERROR(VLOOKUP($B246,'3.Tasks'!$BK$4:$BO$23,2,FALSE),0)</f>
        <v>0</v>
      </c>
      <c r="I246" s="529">
        <f t="shared" si="40"/>
        <v>0</v>
      </c>
      <c r="J246" s="529">
        <f>IFERROR(VLOOKUP($B246,'3.Tasks'!$BK$4:$BO$23,3,FALSE),0)</f>
        <v>0</v>
      </c>
      <c r="K246" s="532">
        <v>0</v>
      </c>
      <c r="L246" s="529">
        <f>IFERROR(VLOOKUP($B246,'3.Tasks'!$BK$4:$BO$23,4,FALSE),0)</f>
        <v>0</v>
      </c>
      <c r="M246" s="532">
        <v>0</v>
      </c>
      <c r="N246" s="529">
        <f>IFERROR(VLOOKUP($B246,'3.Tasks'!$BK$4:$BO$23,5,FALSE),0)</f>
        <v>0</v>
      </c>
      <c r="O246" s="532">
        <v>0</v>
      </c>
      <c r="P246" s="530">
        <f t="shared" si="39"/>
        <v>0</v>
      </c>
      <c r="AJ246" s="110"/>
      <c r="AK246" s="110"/>
      <c r="AL246" s="110"/>
      <c r="AM246" s="110"/>
      <c r="AN246" s="110"/>
      <c r="AO246" s="110"/>
      <c r="AP246" s="110"/>
      <c r="AQ246" s="110"/>
      <c r="AR246" s="110"/>
      <c r="AS246" s="110"/>
      <c r="AT246" s="110"/>
      <c r="AU246" s="110"/>
      <c r="AV246" s="110"/>
      <c r="AW246" s="110"/>
      <c r="AX246" s="110"/>
      <c r="AY246" s="110"/>
      <c r="AZ246" s="110"/>
      <c r="BA246" s="110"/>
      <c r="BB246" s="110"/>
      <c r="BC246" s="110"/>
      <c r="BD246" s="110"/>
      <c r="BE246" s="110"/>
      <c r="BF246" s="110"/>
      <c r="BG246" s="110"/>
      <c r="BH246" s="110"/>
      <c r="BI246" s="110"/>
      <c r="BJ246" s="110"/>
      <c r="BK246" s="110"/>
      <c r="BL246" s="110"/>
    </row>
    <row r="247" spans="1:64">
      <c r="A247" s="529">
        <f t="shared" si="43"/>
        <v>3</v>
      </c>
      <c r="B247" s="529" t="s">
        <v>823</v>
      </c>
      <c r="C247" s="529" t="s">
        <v>23</v>
      </c>
      <c r="D247" s="529" t="str">
        <f>VLOOKUP(A247,Tabela8[[No.]:[Institution**]],9,FALSE)</f>
        <v>FCiências.ID</v>
      </c>
      <c r="E247" s="531" t="s">
        <v>41</v>
      </c>
      <c r="F247" s="529">
        <f>HLOOKUP(C247,'5.Equipments'!$AJ$2:$BC$22,(A247+1),FALSE)</f>
        <v>0</v>
      </c>
      <c r="G247" s="526">
        <f t="shared" si="34"/>
        <v>0</v>
      </c>
      <c r="H247" s="525">
        <f>IFERROR(VLOOKUP($B247,'3.Tasks'!$BK$4:$BO$23,2,FALSE),0)</f>
        <v>0</v>
      </c>
      <c r="I247" s="529">
        <f t="shared" si="40"/>
        <v>0</v>
      </c>
      <c r="J247" s="529">
        <f>IFERROR(VLOOKUP($B247,'3.Tasks'!$BK$4:$BO$23,3,FALSE),0)</f>
        <v>0</v>
      </c>
      <c r="K247" s="532">
        <v>0</v>
      </c>
      <c r="L247" s="529">
        <f>IFERROR(VLOOKUP($B247,'3.Tasks'!$BK$4:$BO$23,4,FALSE),0)</f>
        <v>0</v>
      </c>
      <c r="M247" s="532">
        <v>0</v>
      </c>
      <c r="N247" s="529">
        <f>IFERROR(VLOOKUP($B247,'3.Tasks'!$BK$4:$BO$23,5,FALSE),0)</f>
        <v>0</v>
      </c>
      <c r="O247" s="532">
        <v>0</v>
      </c>
      <c r="P247" s="530">
        <f t="shared" si="39"/>
        <v>0</v>
      </c>
      <c r="AJ247" s="110"/>
      <c r="AK247" s="110"/>
      <c r="AL247" s="110"/>
      <c r="AM247" s="110"/>
      <c r="AN247" s="110"/>
      <c r="AO247" s="110"/>
      <c r="AP247" s="110"/>
      <c r="AQ247" s="110"/>
      <c r="AR247" s="110"/>
      <c r="AS247" s="110"/>
      <c r="AT247" s="110"/>
      <c r="AU247" s="110"/>
      <c r="AV247" s="110"/>
      <c r="AW247" s="110"/>
      <c r="AX247" s="110"/>
      <c r="AY247" s="110"/>
      <c r="AZ247" s="110"/>
      <c r="BA247" s="110"/>
      <c r="BB247" s="110"/>
      <c r="BC247" s="110"/>
      <c r="BD247" s="110"/>
      <c r="BE247" s="110"/>
      <c r="BF247" s="110"/>
      <c r="BG247" s="110"/>
      <c r="BH247" s="110"/>
      <c r="BI247" s="110"/>
      <c r="BJ247" s="110"/>
      <c r="BK247" s="110"/>
      <c r="BL247" s="110"/>
    </row>
    <row r="248" spans="1:64">
      <c r="A248" s="529">
        <f t="shared" si="43"/>
        <v>3</v>
      </c>
      <c r="B248" s="529" t="s">
        <v>824</v>
      </c>
      <c r="C248" s="529" t="s">
        <v>24</v>
      </c>
      <c r="D248" s="529" t="str">
        <f>VLOOKUP(A248,Tabela8[[No.]:[Institution**]],9,FALSE)</f>
        <v>FCiências.ID</v>
      </c>
      <c r="E248" s="531" t="s">
        <v>41</v>
      </c>
      <c r="F248" s="529">
        <f>HLOOKUP(C248,'5.Equipments'!$AJ$2:$BC$22,(A248+1),FALSE)</f>
        <v>0</v>
      </c>
      <c r="G248" s="526">
        <f t="shared" si="34"/>
        <v>0</v>
      </c>
      <c r="H248" s="525">
        <f>IFERROR(VLOOKUP($B248,'3.Tasks'!$BK$4:$BO$23,2,FALSE),0)</f>
        <v>0</v>
      </c>
      <c r="I248" s="529">
        <f t="shared" si="40"/>
        <v>0</v>
      </c>
      <c r="J248" s="529">
        <f>IFERROR(VLOOKUP($B248,'3.Tasks'!$BK$4:$BO$23,3,FALSE),0)</f>
        <v>0</v>
      </c>
      <c r="K248" s="532">
        <v>0</v>
      </c>
      <c r="L248" s="529">
        <f>IFERROR(VLOOKUP($B248,'3.Tasks'!$BK$4:$BO$23,4,FALSE),0)</f>
        <v>0</v>
      </c>
      <c r="M248" s="532">
        <v>0</v>
      </c>
      <c r="N248" s="529">
        <f>IFERROR(VLOOKUP($B248,'3.Tasks'!$BK$4:$BO$23,5,FALSE),0)</f>
        <v>0</v>
      </c>
      <c r="O248" s="532">
        <v>0</v>
      </c>
      <c r="P248" s="530">
        <f t="shared" si="39"/>
        <v>0</v>
      </c>
      <c r="AJ248" s="110"/>
      <c r="AK248" s="110"/>
      <c r="AL248" s="110"/>
      <c r="AM248" s="110"/>
      <c r="AN248" s="110"/>
      <c r="AO248" s="110"/>
      <c r="AP248" s="110"/>
      <c r="AQ248" s="110"/>
      <c r="AR248" s="110"/>
      <c r="AS248" s="110"/>
      <c r="AT248" s="110"/>
      <c r="AU248" s="110"/>
      <c r="AV248" s="110"/>
      <c r="AW248" s="110"/>
      <c r="AX248" s="110"/>
      <c r="AY248" s="110"/>
      <c r="AZ248" s="110"/>
      <c r="BA248" s="110"/>
      <c r="BB248" s="110"/>
      <c r="BC248" s="110"/>
      <c r="BD248" s="110"/>
      <c r="BE248" s="110"/>
      <c r="BF248" s="110"/>
      <c r="BG248" s="110"/>
      <c r="BH248" s="110"/>
      <c r="BI248" s="110"/>
      <c r="BJ248" s="110"/>
      <c r="BK248" s="110"/>
      <c r="BL248" s="110"/>
    </row>
    <row r="249" spans="1:64">
      <c r="A249" s="529">
        <f t="shared" si="43"/>
        <v>3</v>
      </c>
      <c r="B249" s="529" t="s">
        <v>825</v>
      </c>
      <c r="C249" s="529" t="s">
        <v>25</v>
      </c>
      <c r="D249" s="529" t="str">
        <f>VLOOKUP(A249,Tabela8[[No.]:[Institution**]],9,FALSE)</f>
        <v>FCiências.ID</v>
      </c>
      <c r="E249" s="531" t="s">
        <v>41</v>
      </c>
      <c r="F249" s="529">
        <f>HLOOKUP(C249,'5.Equipments'!$AJ$2:$BC$22,(A249+1),FALSE)</f>
        <v>0</v>
      </c>
      <c r="G249" s="526">
        <f t="shared" si="34"/>
        <v>0</v>
      </c>
      <c r="H249" s="525">
        <f>IFERROR(VLOOKUP($B249,'3.Tasks'!$BK$4:$BO$23,2,FALSE),0)</f>
        <v>0</v>
      </c>
      <c r="I249" s="529">
        <f t="shared" si="40"/>
        <v>0</v>
      </c>
      <c r="J249" s="529">
        <f>IFERROR(VLOOKUP($B249,'3.Tasks'!$BK$4:$BO$23,3,FALSE),0)</f>
        <v>0</v>
      </c>
      <c r="K249" s="532">
        <v>0</v>
      </c>
      <c r="L249" s="529">
        <f>IFERROR(VLOOKUP($B249,'3.Tasks'!$BK$4:$BO$23,4,FALSE),0)</f>
        <v>0</v>
      </c>
      <c r="M249" s="532">
        <v>0</v>
      </c>
      <c r="N249" s="529">
        <f>IFERROR(VLOOKUP($B249,'3.Tasks'!$BK$4:$BO$23,5,FALSE),0)</f>
        <v>0</v>
      </c>
      <c r="O249" s="532">
        <v>0</v>
      </c>
      <c r="P249" s="530">
        <f t="shared" si="39"/>
        <v>0</v>
      </c>
      <c r="AJ249" s="110"/>
      <c r="AK249" s="110"/>
      <c r="AL249" s="110"/>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row>
    <row r="250" spans="1:64">
      <c r="A250" s="529">
        <f t="shared" si="43"/>
        <v>3</v>
      </c>
      <c r="B250" s="529" t="s">
        <v>826</v>
      </c>
      <c r="C250" s="529" t="s">
        <v>26</v>
      </c>
      <c r="D250" s="529" t="str">
        <f>VLOOKUP(A250,Tabela8[[No.]:[Institution**]],9,FALSE)</f>
        <v>FCiências.ID</v>
      </c>
      <c r="E250" s="531" t="s">
        <v>41</v>
      </c>
      <c r="F250" s="529">
        <f>HLOOKUP(C250,'5.Equipments'!$AJ$2:$BC$22,(A250+1),FALSE)</f>
        <v>0</v>
      </c>
      <c r="G250" s="526">
        <f t="shared" si="34"/>
        <v>0</v>
      </c>
      <c r="H250" s="525">
        <f>IFERROR(VLOOKUP($B250,'3.Tasks'!$BK$4:$BO$23,2,FALSE),0)</f>
        <v>0</v>
      </c>
      <c r="I250" s="529">
        <f t="shared" si="40"/>
        <v>0</v>
      </c>
      <c r="J250" s="529">
        <f>IFERROR(VLOOKUP($B250,'3.Tasks'!$BK$4:$BO$23,3,FALSE),0)</f>
        <v>0</v>
      </c>
      <c r="K250" s="532">
        <v>0</v>
      </c>
      <c r="L250" s="529">
        <f>IFERROR(VLOOKUP($B250,'3.Tasks'!$BK$4:$BO$23,4,FALSE),0)</f>
        <v>0</v>
      </c>
      <c r="M250" s="532">
        <v>0</v>
      </c>
      <c r="N250" s="529">
        <f>IFERROR(VLOOKUP($B250,'3.Tasks'!$BK$4:$BO$23,5,FALSE),0)</f>
        <v>0</v>
      </c>
      <c r="O250" s="532">
        <v>0</v>
      </c>
      <c r="P250" s="530">
        <f t="shared" si="39"/>
        <v>0</v>
      </c>
      <c r="AJ250" s="110"/>
      <c r="AK250" s="110"/>
      <c r="AL250" s="110"/>
      <c r="AM250" s="110"/>
      <c r="AN250" s="110"/>
      <c r="AO250" s="110"/>
      <c r="AP250" s="110"/>
      <c r="AQ250" s="110"/>
      <c r="AR250" s="110"/>
      <c r="AS250" s="110"/>
      <c r="AT250" s="110"/>
      <c r="AU250" s="110"/>
      <c r="AV250" s="110"/>
      <c r="AW250" s="110"/>
      <c r="AX250" s="110"/>
      <c r="AY250" s="110"/>
      <c r="AZ250" s="110"/>
      <c r="BA250" s="110"/>
      <c r="BB250" s="110"/>
      <c r="BC250" s="110"/>
      <c r="BD250" s="110"/>
      <c r="BE250" s="110"/>
      <c r="BF250" s="110"/>
      <c r="BG250" s="110"/>
      <c r="BH250" s="110"/>
      <c r="BI250" s="110"/>
      <c r="BJ250" s="110"/>
      <c r="BK250" s="110"/>
      <c r="BL250" s="110"/>
    </row>
    <row r="251" spans="1:64">
      <c r="A251" s="529">
        <f t="shared" si="43"/>
        <v>3</v>
      </c>
      <c r="B251" s="529" t="s">
        <v>827</v>
      </c>
      <c r="C251" s="529" t="s">
        <v>27</v>
      </c>
      <c r="D251" s="529" t="str">
        <f>VLOOKUP(A251,Tabela8[[No.]:[Institution**]],9,FALSE)</f>
        <v>FCiências.ID</v>
      </c>
      <c r="E251" s="531" t="s">
        <v>41</v>
      </c>
      <c r="F251" s="529">
        <f>HLOOKUP(C251,'5.Equipments'!$AJ$2:$BC$22,(A251+1),FALSE)</f>
        <v>0</v>
      </c>
      <c r="G251" s="526">
        <f t="shared" si="34"/>
        <v>0</v>
      </c>
      <c r="H251" s="525">
        <f>IFERROR(VLOOKUP($B251,'3.Tasks'!$BK$4:$BO$23,2,FALSE),0)</f>
        <v>0</v>
      </c>
      <c r="I251" s="529">
        <f t="shared" si="40"/>
        <v>0</v>
      </c>
      <c r="J251" s="529">
        <f>IFERROR(VLOOKUP($B251,'3.Tasks'!$BK$4:$BO$23,3,FALSE),0)</f>
        <v>0</v>
      </c>
      <c r="K251" s="532">
        <v>0</v>
      </c>
      <c r="L251" s="529">
        <f>IFERROR(VLOOKUP($B251,'3.Tasks'!$BK$4:$BO$23,4,FALSE),0)</f>
        <v>0</v>
      </c>
      <c r="M251" s="532">
        <v>0</v>
      </c>
      <c r="N251" s="529">
        <f>IFERROR(VLOOKUP($B251,'3.Tasks'!$BK$4:$BO$23,5,FALSE),0)</f>
        <v>0</v>
      </c>
      <c r="O251" s="532">
        <v>0</v>
      </c>
      <c r="P251" s="530">
        <f t="shared" si="39"/>
        <v>0</v>
      </c>
      <c r="AJ251" s="110"/>
      <c r="AK251" s="110"/>
      <c r="AL251" s="110"/>
      <c r="AM251" s="110"/>
      <c r="AN251" s="110"/>
      <c r="AO251" s="110"/>
      <c r="AP251" s="110"/>
      <c r="AQ251" s="110"/>
      <c r="AR251" s="110"/>
      <c r="AS251" s="110"/>
      <c r="AT251" s="110"/>
      <c r="AU251" s="110"/>
      <c r="AV251" s="110"/>
      <c r="AW251" s="110"/>
      <c r="AX251" s="110"/>
      <c r="AY251" s="110"/>
      <c r="AZ251" s="110"/>
      <c r="BA251" s="110"/>
      <c r="BB251" s="110"/>
      <c r="BC251" s="110"/>
      <c r="BD251" s="110"/>
      <c r="BE251" s="110"/>
      <c r="BF251" s="110"/>
      <c r="BG251" s="110"/>
      <c r="BH251" s="110"/>
      <c r="BI251" s="110"/>
      <c r="BJ251" s="110"/>
      <c r="BK251" s="110"/>
      <c r="BL251" s="110"/>
    </row>
    <row r="252" spans="1:64">
      <c r="A252" s="529">
        <f t="shared" si="43"/>
        <v>3</v>
      </c>
      <c r="B252" s="529" t="s">
        <v>828</v>
      </c>
      <c r="C252" s="529" t="s">
        <v>28</v>
      </c>
      <c r="D252" s="529" t="str">
        <f>VLOOKUP(A252,Tabela8[[No.]:[Institution**]],9,FALSE)</f>
        <v>FCiências.ID</v>
      </c>
      <c r="E252" s="531" t="s">
        <v>41</v>
      </c>
      <c r="F252" s="529">
        <f>HLOOKUP(C252,'5.Equipments'!$AJ$2:$BC$22,(A252+1),FALSE)</f>
        <v>0</v>
      </c>
      <c r="G252" s="526">
        <f t="shared" si="34"/>
        <v>0</v>
      </c>
      <c r="H252" s="525">
        <f>IFERROR(VLOOKUP($B252,'3.Tasks'!$BK$4:$BO$23,2,FALSE),0)</f>
        <v>0</v>
      </c>
      <c r="I252" s="529">
        <f t="shared" si="40"/>
        <v>0</v>
      </c>
      <c r="J252" s="529">
        <f>IFERROR(VLOOKUP($B252,'3.Tasks'!$BK$4:$BO$23,3,FALSE),0)</f>
        <v>0</v>
      </c>
      <c r="K252" s="532">
        <v>0</v>
      </c>
      <c r="L252" s="529">
        <f>IFERROR(VLOOKUP($B252,'3.Tasks'!$BK$4:$BO$23,4,FALSE),0)</f>
        <v>0</v>
      </c>
      <c r="M252" s="532">
        <v>0</v>
      </c>
      <c r="N252" s="529">
        <f>IFERROR(VLOOKUP($B252,'3.Tasks'!$BK$4:$BO$23,5,FALSE),0)</f>
        <v>0</v>
      </c>
      <c r="O252" s="532">
        <v>0</v>
      </c>
      <c r="P252" s="530">
        <f t="shared" si="39"/>
        <v>0</v>
      </c>
      <c r="AJ252" s="110"/>
      <c r="AK252" s="110"/>
      <c r="AL252" s="110"/>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row>
    <row r="253" spans="1:64">
      <c r="A253" s="529">
        <f t="shared" si="43"/>
        <v>3</v>
      </c>
      <c r="B253" s="529" t="s">
        <v>829</v>
      </c>
      <c r="C253" s="529" t="s">
        <v>29</v>
      </c>
      <c r="D253" s="529" t="str">
        <f>VLOOKUP(A253,Tabela8[[No.]:[Institution**]],9,FALSE)</f>
        <v>FCiências.ID</v>
      </c>
      <c r="E253" s="531" t="s">
        <v>41</v>
      </c>
      <c r="F253" s="529">
        <f>HLOOKUP(C253,'5.Equipments'!$AJ$2:$BC$22,(A253+1),FALSE)</f>
        <v>0</v>
      </c>
      <c r="G253" s="526">
        <f t="shared" si="34"/>
        <v>0</v>
      </c>
      <c r="H253" s="525">
        <f>IFERROR(VLOOKUP($B253,'3.Tasks'!$BK$4:$BO$23,2,FALSE),0)</f>
        <v>0</v>
      </c>
      <c r="I253" s="529">
        <f t="shared" si="40"/>
        <v>0</v>
      </c>
      <c r="J253" s="529">
        <f>IFERROR(VLOOKUP($B253,'3.Tasks'!$BK$4:$BO$23,3,FALSE),0)</f>
        <v>0</v>
      </c>
      <c r="K253" s="532">
        <v>0</v>
      </c>
      <c r="L253" s="529">
        <f>IFERROR(VLOOKUP($B253,'3.Tasks'!$BK$4:$BO$23,4,FALSE),0)</f>
        <v>0</v>
      </c>
      <c r="M253" s="532">
        <v>0</v>
      </c>
      <c r="N253" s="529">
        <f>IFERROR(VLOOKUP($B253,'3.Tasks'!$BK$4:$BO$23,5,FALSE),0)</f>
        <v>0</v>
      </c>
      <c r="O253" s="532">
        <v>0</v>
      </c>
      <c r="P253" s="530">
        <f t="shared" si="39"/>
        <v>0</v>
      </c>
      <c r="AJ253" s="110"/>
      <c r="AK253" s="110"/>
      <c r="AL253" s="110"/>
      <c r="AM253" s="110"/>
      <c r="AN253" s="110"/>
      <c r="AO253" s="110"/>
      <c r="AP253" s="110"/>
      <c r="AQ253" s="110"/>
      <c r="AR253" s="110"/>
      <c r="AS253" s="110"/>
      <c r="AT253" s="110"/>
      <c r="AU253" s="110"/>
      <c r="AV253" s="110"/>
      <c r="AW253" s="110"/>
      <c r="AX253" s="110"/>
      <c r="AY253" s="110"/>
      <c r="AZ253" s="110"/>
      <c r="BA253" s="110"/>
      <c r="BB253" s="110"/>
      <c r="BC253" s="110"/>
      <c r="BD253" s="110"/>
      <c r="BE253" s="110"/>
      <c r="BF253" s="110"/>
      <c r="BG253" s="110"/>
      <c r="BH253" s="110"/>
      <c r="BI253" s="110"/>
      <c r="BJ253" s="110"/>
      <c r="BK253" s="110"/>
      <c r="BL253" s="110"/>
    </row>
    <row r="254" spans="1:64">
      <c r="A254" s="529">
        <f t="shared" si="43"/>
        <v>3</v>
      </c>
      <c r="B254" s="529" t="s">
        <v>830</v>
      </c>
      <c r="C254" s="529" t="s">
        <v>30</v>
      </c>
      <c r="D254" s="529" t="str">
        <f>VLOOKUP(A254,Tabela8[[No.]:[Institution**]],9,FALSE)</f>
        <v>FCiências.ID</v>
      </c>
      <c r="E254" s="531" t="s">
        <v>41</v>
      </c>
      <c r="F254" s="529">
        <f>HLOOKUP(C254,'5.Equipments'!$AJ$2:$BC$22,(A254+1),FALSE)</f>
        <v>0</v>
      </c>
      <c r="G254" s="526">
        <f t="shared" si="34"/>
        <v>0</v>
      </c>
      <c r="H254" s="525">
        <f>IFERROR(VLOOKUP($B254,'3.Tasks'!$BK$4:$BO$23,2,FALSE),0)</f>
        <v>0</v>
      </c>
      <c r="I254" s="529">
        <f t="shared" si="40"/>
        <v>0</v>
      </c>
      <c r="J254" s="529">
        <f>IFERROR(VLOOKUP($B254,'3.Tasks'!$BK$4:$BO$23,3,FALSE),0)</f>
        <v>0</v>
      </c>
      <c r="K254" s="532">
        <v>0</v>
      </c>
      <c r="L254" s="529">
        <f>IFERROR(VLOOKUP($B254,'3.Tasks'!$BK$4:$BO$23,4,FALSE),0)</f>
        <v>0</v>
      </c>
      <c r="M254" s="532">
        <v>0</v>
      </c>
      <c r="N254" s="529">
        <f>IFERROR(VLOOKUP($B254,'3.Tasks'!$BK$4:$BO$23,5,FALSE),0)</f>
        <v>0</v>
      </c>
      <c r="O254" s="532">
        <v>0</v>
      </c>
      <c r="P254" s="530">
        <f t="shared" si="39"/>
        <v>0</v>
      </c>
      <c r="AJ254" s="110"/>
      <c r="AK254" s="110"/>
      <c r="AL254" s="110"/>
      <c r="AM254" s="110"/>
      <c r="AN254" s="110"/>
      <c r="AO254" s="110"/>
      <c r="AP254" s="110"/>
      <c r="AQ254" s="110"/>
      <c r="AR254" s="110"/>
      <c r="AS254" s="110"/>
      <c r="AT254" s="110"/>
      <c r="AU254" s="110"/>
      <c r="AV254" s="110"/>
      <c r="AW254" s="110"/>
      <c r="AX254" s="110"/>
      <c r="AY254" s="110"/>
      <c r="AZ254" s="110"/>
      <c r="BA254" s="110"/>
      <c r="BB254" s="110"/>
      <c r="BC254" s="110"/>
      <c r="BD254" s="110"/>
      <c r="BE254" s="110"/>
      <c r="BF254" s="110"/>
      <c r="BG254" s="110"/>
      <c r="BH254" s="110"/>
      <c r="BI254" s="110"/>
      <c r="BJ254" s="110"/>
      <c r="BK254" s="110"/>
      <c r="BL254" s="110"/>
    </row>
    <row r="255" spans="1:64">
      <c r="A255" s="529">
        <f t="shared" si="43"/>
        <v>3</v>
      </c>
      <c r="B255" s="529" t="s">
        <v>831</v>
      </c>
      <c r="C255" s="529" t="s">
        <v>31</v>
      </c>
      <c r="D255" s="529" t="str">
        <f>VLOOKUP(A255,Tabela8[[No.]:[Institution**]],9,FALSE)</f>
        <v>FCiências.ID</v>
      </c>
      <c r="E255" s="531" t="s">
        <v>41</v>
      </c>
      <c r="F255" s="529">
        <f>HLOOKUP(C255,'5.Equipments'!$AJ$2:$BC$22,(A255+1),FALSE)</f>
        <v>0</v>
      </c>
      <c r="G255" s="526">
        <f t="shared" si="34"/>
        <v>0</v>
      </c>
      <c r="H255" s="525">
        <f>IFERROR(VLOOKUP($B255,'3.Tasks'!$BK$4:$BO$23,2,FALSE),0)</f>
        <v>0</v>
      </c>
      <c r="I255" s="529">
        <f t="shared" si="40"/>
        <v>0</v>
      </c>
      <c r="J255" s="529">
        <f>IFERROR(VLOOKUP($B255,'3.Tasks'!$BK$4:$BO$23,3,FALSE),0)</f>
        <v>0</v>
      </c>
      <c r="K255" s="532">
        <v>0</v>
      </c>
      <c r="L255" s="529">
        <f>IFERROR(VLOOKUP($B255,'3.Tasks'!$BK$4:$BO$23,4,FALSE),0)</f>
        <v>0</v>
      </c>
      <c r="M255" s="532">
        <v>0</v>
      </c>
      <c r="N255" s="529">
        <f>IFERROR(VLOOKUP($B255,'3.Tasks'!$BK$4:$BO$23,5,FALSE),0)</f>
        <v>0</v>
      </c>
      <c r="O255" s="532">
        <v>0</v>
      </c>
      <c r="P255" s="530">
        <f t="shared" si="39"/>
        <v>0</v>
      </c>
      <c r="AJ255" s="110"/>
      <c r="AK255" s="110"/>
      <c r="AL255" s="110"/>
      <c r="AM255" s="110"/>
      <c r="AN255" s="110"/>
      <c r="AO255" s="110"/>
      <c r="AP255" s="110"/>
      <c r="AQ255" s="110"/>
      <c r="AR255" s="110"/>
      <c r="AS255" s="110"/>
      <c r="AT255" s="110"/>
      <c r="AU255" s="110"/>
      <c r="AV255" s="110"/>
      <c r="AW255" s="110"/>
      <c r="AX255" s="110"/>
      <c r="AY255" s="110"/>
      <c r="AZ255" s="110"/>
      <c r="BA255" s="110"/>
      <c r="BB255" s="110"/>
      <c r="BC255" s="110"/>
      <c r="BD255" s="110"/>
      <c r="BE255" s="110"/>
      <c r="BF255" s="110"/>
      <c r="BG255" s="110"/>
      <c r="BH255" s="110"/>
      <c r="BI255" s="110"/>
      <c r="BJ255" s="110"/>
      <c r="BK255" s="110"/>
      <c r="BL255" s="110"/>
    </row>
    <row r="256" spans="1:64">
      <c r="A256" s="529">
        <f t="shared" si="43"/>
        <v>3</v>
      </c>
      <c r="B256" s="529" t="s">
        <v>832</v>
      </c>
      <c r="C256" s="529" t="s">
        <v>32</v>
      </c>
      <c r="D256" s="529" t="str">
        <f>VLOOKUP(A256,Tabela8[[No.]:[Institution**]],9,FALSE)</f>
        <v>FCiências.ID</v>
      </c>
      <c r="E256" s="531" t="s">
        <v>41</v>
      </c>
      <c r="F256" s="529">
        <f>HLOOKUP(C256,'5.Equipments'!$AJ$2:$BC$22,(A256+1),FALSE)</f>
        <v>0</v>
      </c>
      <c r="G256" s="526">
        <f t="shared" si="34"/>
        <v>0</v>
      </c>
      <c r="H256" s="525">
        <f>IFERROR(VLOOKUP($B256,'3.Tasks'!$BK$4:$BO$23,2,FALSE),0)</f>
        <v>0</v>
      </c>
      <c r="I256" s="529">
        <f t="shared" si="40"/>
        <v>0</v>
      </c>
      <c r="J256" s="529">
        <f>IFERROR(VLOOKUP($B256,'3.Tasks'!$BK$4:$BO$23,3,FALSE),0)</f>
        <v>0</v>
      </c>
      <c r="K256" s="532">
        <v>0</v>
      </c>
      <c r="L256" s="529">
        <f>IFERROR(VLOOKUP($B256,'3.Tasks'!$BK$4:$BO$23,4,FALSE),0)</f>
        <v>0</v>
      </c>
      <c r="M256" s="532">
        <v>0</v>
      </c>
      <c r="N256" s="529">
        <f>IFERROR(VLOOKUP($B256,'3.Tasks'!$BK$4:$BO$23,5,FALSE),0)</f>
        <v>0</v>
      </c>
      <c r="O256" s="532">
        <v>0</v>
      </c>
      <c r="P256" s="530">
        <f t="shared" si="39"/>
        <v>0</v>
      </c>
      <c r="AJ256" s="110"/>
      <c r="AK256" s="110"/>
      <c r="AL256" s="110"/>
      <c r="AM256" s="110"/>
      <c r="AN256" s="110"/>
      <c r="AO256" s="110"/>
      <c r="AP256" s="110"/>
      <c r="AQ256" s="110"/>
      <c r="AR256" s="110"/>
      <c r="AS256" s="110"/>
      <c r="AT256" s="110"/>
      <c r="AU256" s="110"/>
      <c r="AV256" s="110"/>
      <c r="AW256" s="110"/>
      <c r="AX256" s="110"/>
      <c r="AY256" s="110"/>
      <c r="AZ256" s="110"/>
      <c r="BA256" s="110"/>
      <c r="BB256" s="110"/>
      <c r="BC256" s="110"/>
      <c r="BD256" s="110"/>
      <c r="BE256" s="110"/>
      <c r="BF256" s="110"/>
      <c r="BG256" s="110"/>
      <c r="BH256" s="110"/>
      <c r="BI256" s="110"/>
      <c r="BJ256" s="110"/>
      <c r="BK256" s="110"/>
      <c r="BL256" s="110"/>
    </row>
    <row r="257" spans="1:64">
      <c r="A257" s="529">
        <f t="shared" si="43"/>
        <v>3</v>
      </c>
      <c r="B257" s="529" t="s">
        <v>833</v>
      </c>
      <c r="C257" s="529" t="s">
        <v>33</v>
      </c>
      <c r="D257" s="529" t="str">
        <f>VLOOKUP(A257,Tabela8[[No.]:[Institution**]],9,FALSE)</f>
        <v>FCiências.ID</v>
      </c>
      <c r="E257" s="531" t="s">
        <v>41</v>
      </c>
      <c r="F257" s="529">
        <f>HLOOKUP(C257,'5.Equipments'!$AJ$2:$BC$22,(A257+1),FALSE)</f>
        <v>0</v>
      </c>
      <c r="G257" s="526">
        <f t="shared" si="34"/>
        <v>0</v>
      </c>
      <c r="H257" s="525">
        <f>IFERROR(VLOOKUP($B257,'3.Tasks'!$BK$4:$BO$23,2,FALSE),0)</f>
        <v>0</v>
      </c>
      <c r="I257" s="529">
        <f t="shared" si="40"/>
        <v>0</v>
      </c>
      <c r="J257" s="529">
        <f>IFERROR(VLOOKUP($B257,'3.Tasks'!$BK$4:$BO$23,3,FALSE),0)</f>
        <v>0</v>
      </c>
      <c r="K257" s="532">
        <v>0</v>
      </c>
      <c r="L257" s="529">
        <f>IFERROR(VLOOKUP($B257,'3.Tasks'!$BK$4:$BO$23,4,FALSE),0)</f>
        <v>0</v>
      </c>
      <c r="M257" s="532">
        <v>0</v>
      </c>
      <c r="N257" s="529">
        <f>IFERROR(VLOOKUP($B257,'3.Tasks'!$BK$4:$BO$23,5,FALSE),0)</f>
        <v>0</v>
      </c>
      <c r="O257" s="532">
        <v>0</v>
      </c>
      <c r="P257" s="530">
        <f t="shared" si="39"/>
        <v>0</v>
      </c>
      <c r="AJ257" s="110"/>
      <c r="AK257" s="110"/>
      <c r="AL257" s="110"/>
      <c r="AM257" s="110"/>
      <c r="AN257" s="110"/>
      <c r="AO257" s="110"/>
      <c r="AP257" s="110"/>
      <c r="AQ257" s="110"/>
      <c r="AR257" s="110"/>
      <c r="AS257" s="110"/>
      <c r="AT257" s="110"/>
      <c r="AU257" s="110"/>
      <c r="AV257" s="110"/>
      <c r="AW257" s="110"/>
      <c r="AX257" s="110"/>
      <c r="AY257" s="110"/>
      <c r="AZ257" s="110"/>
      <c r="BA257" s="110"/>
      <c r="BB257" s="110"/>
      <c r="BC257" s="110"/>
      <c r="BD257" s="110"/>
      <c r="BE257" s="110"/>
      <c r="BF257" s="110"/>
      <c r="BG257" s="110"/>
      <c r="BH257" s="110"/>
      <c r="BI257" s="110"/>
      <c r="BJ257" s="110"/>
      <c r="BK257" s="110"/>
      <c r="BL257" s="110"/>
    </row>
    <row r="258" spans="1:64">
      <c r="A258" s="529">
        <f t="shared" si="43"/>
        <v>3</v>
      </c>
      <c r="B258" s="529" t="s">
        <v>834</v>
      </c>
      <c r="C258" s="529" t="s">
        <v>34</v>
      </c>
      <c r="D258" s="529" t="str">
        <f>VLOOKUP(A258,Tabela8[[No.]:[Institution**]],9,FALSE)</f>
        <v>FCiências.ID</v>
      </c>
      <c r="E258" s="531" t="s">
        <v>41</v>
      </c>
      <c r="F258" s="529">
        <f>HLOOKUP(C258,'5.Equipments'!$AJ$2:$BC$22,(A258+1),FALSE)</f>
        <v>0</v>
      </c>
      <c r="G258" s="526">
        <f t="shared" si="34"/>
        <v>0</v>
      </c>
      <c r="H258" s="525">
        <f>IFERROR(VLOOKUP($B258,'3.Tasks'!$BK$4:$BO$23,2,FALSE),0)</f>
        <v>0</v>
      </c>
      <c r="I258" s="529">
        <f t="shared" si="40"/>
        <v>0</v>
      </c>
      <c r="J258" s="529">
        <f>IFERROR(VLOOKUP($B258,'3.Tasks'!$BK$4:$BO$23,3,FALSE),0)</f>
        <v>0</v>
      </c>
      <c r="K258" s="532">
        <v>0</v>
      </c>
      <c r="L258" s="529">
        <f>IFERROR(VLOOKUP($B258,'3.Tasks'!$BK$4:$BO$23,4,FALSE),0)</f>
        <v>0</v>
      </c>
      <c r="M258" s="532">
        <v>0</v>
      </c>
      <c r="N258" s="529">
        <f>IFERROR(VLOOKUP($B258,'3.Tasks'!$BK$4:$BO$23,5,FALSE),0)</f>
        <v>0</v>
      </c>
      <c r="O258" s="532">
        <v>0</v>
      </c>
      <c r="P258" s="530">
        <f t="shared" si="39"/>
        <v>0</v>
      </c>
      <c r="AJ258" s="110"/>
      <c r="AK258" s="110"/>
      <c r="AL258" s="110"/>
      <c r="AM258" s="110"/>
      <c r="AN258" s="110"/>
      <c r="AO258" s="110"/>
      <c r="AP258" s="110"/>
      <c r="AQ258" s="110"/>
      <c r="AR258" s="110"/>
      <c r="AS258" s="110"/>
      <c r="AT258" s="110"/>
      <c r="AU258" s="110"/>
      <c r="AV258" s="110"/>
      <c r="AW258" s="110"/>
      <c r="AX258" s="110"/>
      <c r="AY258" s="110"/>
      <c r="AZ258" s="110"/>
      <c r="BA258" s="110"/>
      <c r="BB258" s="110"/>
      <c r="BC258" s="110"/>
      <c r="BD258" s="110"/>
      <c r="BE258" s="110"/>
      <c r="BF258" s="110"/>
      <c r="BG258" s="110"/>
      <c r="BH258" s="110"/>
      <c r="BI258" s="110"/>
      <c r="BJ258" s="110"/>
      <c r="BK258" s="110"/>
      <c r="BL258" s="110"/>
    </row>
    <row r="259" spans="1:64">
      <c r="A259" s="529">
        <f t="shared" si="43"/>
        <v>3</v>
      </c>
      <c r="B259" s="529" t="s">
        <v>835</v>
      </c>
      <c r="C259" s="529" t="s">
        <v>35</v>
      </c>
      <c r="D259" s="529" t="str">
        <f>VLOOKUP(A259,Tabela8[[No.]:[Institution**]],9,FALSE)</f>
        <v>FCiências.ID</v>
      </c>
      <c r="E259" s="531" t="s">
        <v>41</v>
      </c>
      <c r="F259" s="529">
        <f>HLOOKUP(C259,'5.Equipments'!$AJ$2:$BC$22,(A259+1),FALSE)</f>
        <v>0</v>
      </c>
      <c r="G259" s="526">
        <f t="shared" ref="G259:G322" si="44">IFERROR((H259+J259+L259+N259),0)</f>
        <v>0</v>
      </c>
      <c r="H259" s="525">
        <f>IFERROR(VLOOKUP($B259,'3.Tasks'!$BK$4:$BO$23,2,FALSE),0)</f>
        <v>0</v>
      </c>
      <c r="I259" s="529">
        <f t="shared" si="40"/>
        <v>0</v>
      </c>
      <c r="J259" s="529">
        <f>IFERROR(VLOOKUP($B259,'3.Tasks'!$BK$4:$BO$23,3,FALSE),0)</f>
        <v>0</v>
      </c>
      <c r="K259" s="532">
        <v>0</v>
      </c>
      <c r="L259" s="529">
        <f>IFERROR(VLOOKUP($B259,'3.Tasks'!$BK$4:$BO$23,4,FALSE),0)</f>
        <v>0</v>
      </c>
      <c r="M259" s="532">
        <v>0</v>
      </c>
      <c r="N259" s="529">
        <f>IFERROR(VLOOKUP($B259,'3.Tasks'!$BK$4:$BO$23,5,FALSE),0)</f>
        <v>0</v>
      </c>
      <c r="O259" s="532">
        <v>0</v>
      </c>
      <c r="P259" s="530">
        <f t="shared" ref="P259:P322" si="45">+F259-I259-K259-M259-O259</f>
        <v>0</v>
      </c>
      <c r="AJ259" s="110"/>
      <c r="AK259" s="110"/>
      <c r="AL259" s="110"/>
      <c r="AM259" s="110"/>
      <c r="AN259" s="110"/>
      <c r="AO259" s="110"/>
      <c r="AP259" s="110"/>
      <c r="AQ259" s="110"/>
      <c r="AR259" s="110"/>
      <c r="AS259" s="110"/>
      <c r="AT259" s="110"/>
      <c r="AU259" s="110"/>
      <c r="AV259" s="110"/>
      <c r="AW259" s="110"/>
      <c r="AX259" s="110"/>
      <c r="AY259" s="110"/>
      <c r="AZ259" s="110"/>
      <c r="BA259" s="110"/>
      <c r="BB259" s="110"/>
      <c r="BC259" s="110"/>
      <c r="BD259" s="110"/>
      <c r="BE259" s="110"/>
      <c r="BF259" s="110"/>
      <c r="BG259" s="110"/>
      <c r="BH259" s="110"/>
      <c r="BI259" s="110"/>
      <c r="BJ259" s="110"/>
      <c r="BK259" s="110"/>
      <c r="BL259" s="110"/>
    </row>
    <row r="260" spans="1:64">
      <c r="A260" s="529">
        <f t="shared" si="43"/>
        <v>3</v>
      </c>
      <c r="B260" s="529" t="s">
        <v>836</v>
      </c>
      <c r="C260" s="529" t="s">
        <v>36</v>
      </c>
      <c r="D260" s="529" t="str">
        <f>VLOOKUP(A260,Tabela8[[No.]:[Institution**]],9,FALSE)</f>
        <v>FCiências.ID</v>
      </c>
      <c r="E260" s="531" t="s">
        <v>41</v>
      </c>
      <c r="F260" s="529">
        <f>HLOOKUP(C260,'5.Equipments'!$AJ$2:$BC$22,(A260+1),FALSE)</f>
        <v>0</v>
      </c>
      <c r="G260" s="526">
        <f t="shared" si="44"/>
        <v>0</v>
      </c>
      <c r="H260" s="525">
        <f>IFERROR(VLOOKUP($B260,'3.Tasks'!$BK$4:$BO$23,2,FALSE),0)</f>
        <v>0</v>
      </c>
      <c r="I260" s="529">
        <f t="shared" si="40"/>
        <v>0</v>
      </c>
      <c r="J260" s="529">
        <f>IFERROR(VLOOKUP($B260,'3.Tasks'!$BK$4:$BO$23,3,FALSE),0)</f>
        <v>0</v>
      </c>
      <c r="K260" s="532">
        <v>0</v>
      </c>
      <c r="L260" s="529">
        <f>IFERROR(VLOOKUP($B260,'3.Tasks'!$BK$4:$BO$23,4,FALSE),0)</f>
        <v>0</v>
      </c>
      <c r="M260" s="532">
        <v>0</v>
      </c>
      <c r="N260" s="529">
        <f>IFERROR(VLOOKUP($B260,'3.Tasks'!$BK$4:$BO$23,5,FALSE),0)</f>
        <v>0</v>
      </c>
      <c r="O260" s="532">
        <v>0</v>
      </c>
      <c r="P260" s="530">
        <f t="shared" si="45"/>
        <v>0</v>
      </c>
      <c r="AJ260" s="110"/>
      <c r="AK260" s="110"/>
      <c r="AL260" s="110"/>
      <c r="AM260" s="110"/>
      <c r="AN260" s="110"/>
      <c r="AO260" s="110"/>
      <c r="AP260" s="110"/>
      <c r="AQ260" s="110"/>
      <c r="AR260" s="110"/>
      <c r="AS260" s="110"/>
      <c r="AT260" s="110"/>
      <c r="AU260" s="110"/>
      <c r="AV260" s="110"/>
      <c r="AW260" s="110"/>
      <c r="AX260" s="110"/>
      <c r="AY260" s="110"/>
      <c r="AZ260" s="110"/>
      <c r="BA260" s="110"/>
      <c r="BB260" s="110"/>
      <c r="BC260" s="110"/>
      <c r="BD260" s="110"/>
      <c r="BE260" s="110"/>
      <c r="BF260" s="110"/>
      <c r="BG260" s="110"/>
      <c r="BH260" s="110"/>
      <c r="BI260" s="110"/>
      <c r="BJ260" s="110"/>
      <c r="BK260" s="110"/>
      <c r="BL260" s="110"/>
    </row>
    <row r="261" spans="1:64">
      <c r="A261" s="529">
        <f t="shared" si="43"/>
        <v>3</v>
      </c>
      <c r="B261" s="529" t="s">
        <v>837</v>
      </c>
      <c r="C261" s="529" t="s">
        <v>37</v>
      </c>
      <c r="D261" s="529" t="str">
        <f>VLOOKUP(A261,Tabela8[[No.]:[Institution**]],9,FALSE)</f>
        <v>FCiências.ID</v>
      </c>
      <c r="E261" s="531" t="s">
        <v>41</v>
      </c>
      <c r="F261" s="529">
        <f>HLOOKUP(C261,'5.Equipments'!$AJ$2:$BC$22,(A261+1),FALSE)</f>
        <v>0</v>
      </c>
      <c r="G261" s="526">
        <f t="shared" si="44"/>
        <v>0</v>
      </c>
      <c r="H261" s="525">
        <f>IFERROR(VLOOKUP($B261,'3.Tasks'!$BK$4:$BO$23,2,FALSE),0)</f>
        <v>0</v>
      </c>
      <c r="I261" s="529">
        <f t="shared" si="40"/>
        <v>0</v>
      </c>
      <c r="J261" s="529">
        <f>IFERROR(VLOOKUP($B261,'3.Tasks'!$BK$4:$BO$23,3,FALSE),0)</f>
        <v>0</v>
      </c>
      <c r="K261" s="532">
        <v>0</v>
      </c>
      <c r="L261" s="529">
        <f>IFERROR(VLOOKUP($B261,'3.Tasks'!$BK$4:$BO$23,4,FALSE),0)</f>
        <v>0</v>
      </c>
      <c r="M261" s="532">
        <v>0</v>
      </c>
      <c r="N261" s="529">
        <f>IFERROR(VLOOKUP($B261,'3.Tasks'!$BK$4:$BO$23,5,FALSE),0)</f>
        <v>0</v>
      </c>
      <c r="O261" s="532">
        <v>0</v>
      </c>
      <c r="P261" s="530">
        <f t="shared" si="45"/>
        <v>0</v>
      </c>
      <c r="AJ261" s="110"/>
      <c r="AK261" s="110"/>
      <c r="AL261" s="110"/>
      <c r="AM261" s="110"/>
      <c r="AN261" s="110"/>
      <c r="AO261" s="110"/>
      <c r="AP261" s="110"/>
      <c r="AQ261" s="110"/>
      <c r="AR261" s="110"/>
      <c r="AS261" s="110"/>
      <c r="AT261" s="110"/>
      <c r="AU261" s="110"/>
      <c r="AV261" s="110"/>
      <c r="AW261" s="110"/>
      <c r="AX261" s="110"/>
      <c r="AY261" s="110"/>
      <c r="AZ261" s="110"/>
      <c r="BA261" s="110"/>
      <c r="BB261" s="110"/>
      <c r="BC261" s="110"/>
      <c r="BD261" s="110"/>
      <c r="BE261" s="110"/>
      <c r="BF261" s="110"/>
      <c r="BG261" s="110"/>
      <c r="BH261" s="110"/>
      <c r="BI261" s="110"/>
      <c r="BJ261" s="110"/>
      <c r="BK261" s="110"/>
      <c r="BL261" s="110"/>
    </row>
    <row r="262" spans="1:64">
      <c r="A262" s="529">
        <v>4</v>
      </c>
      <c r="B262" s="529" t="s">
        <v>818</v>
      </c>
      <c r="C262" s="529" t="s">
        <v>18</v>
      </c>
      <c r="D262" s="529" t="str">
        <f>VLOOKUP(A262,Tabela8[[No.]:[Institution**]],9,FALSE)</f>
        <v>FCiências.ID</v>
      </c>
      <c r="E262" s="531" t="s">
        <v>41</v>
      </c>
      <c r="F262" s="529">
        <f>HLOOKUP(C262,'5.Equipments'!$AJ$2:$BC$22,(A262+1),FALSE)</f>
        <v>0</v>
      </c>
      <c r="G262" s="526">
        <f t="shared" si="44"/>
        <v>0</v>
      </c>
      <c r="H262" s="525">
        <f>IFERROR(VLOOKUP($B262,'3.Tasks'!$BK$4:$BO$23,2,FALSE),0)</f>
        <v>0</v>
      </c>
      <c r="I262" s="529">
        <f t="shared" si="40"/>
        <v>0</v>
      </c>
      <c r="J262" s="529">
        <f>IFERROR(VLOOKUP($B262,'3.Tasks'!$BK$4:$BO$23,3,FALSE),0)</f>
        <v>0</v>
      </c>
      <c r="K262" s="532">
        <v>0</v>
      </c>
      <c r="L262" s="529">
        <f>IFERROR(VLOOKUP($B262,'3.Tasks'!$BK$4:$BO$23,4,FALSE),0)</f>
        <v>0</v>
      </c>
      <c r="M262" s="532">
        <v>0</v>
      </c>
      <c r="N262" s="529">
        <f>IFERROR(VLOOKUP($B262,'3.Tasks'!$BK$4:$BO$23,5,FALSE),0)</f>
        <v>0</v>
      </c>
      <c r="O262" s="532">
        <v>0</v>
      </c>
      <c r="P262" s="530">
        <f t="shared" si="45"/>
        <v>0</v>
      </c>
      <c r="AJ262" s="110"/>
      <c r="AK262" s="110"/>
      <c r="AL262" s="110"/>
      <c r="AM262" s="110"/>
      <c r="AN262" s="110"/>
      <c r="AO262" s="110"/>
      <c r="AP262" s="110"/>
      <c r="AQ262" s="110"/>
      <c r="AR262" s="110"/>
      <c r="AS262" s="110"/>
      <c r="AT262" s="110"/>
      <c r="AU262" s="110"/>
      <c r="AV262" s="110"/>
      <c r="AW262" s="110"/>
      <c r="AX262" s="110"/>
      <c r="AY262" s="110"/>
      <c r="AZ262" s="110"/>
      <c r="BA262" s="110"/>
      <c r="BB262" s="110"/>
      <c r="BC262" s="110"/>
      <c r="BD262" s="110"/>
      <c r="BE262" s="110"/>
      <c r="BF262" s="110"/>
      <c r="BG262" s="110"/>
      <c r="BH262" s="110"/>
      <c r="BI262" s="110"/>
      <c r="BJ262" s="110"/>
      <c r="BK262" s="110"/>
      <c r="BL262" s="110"/>
    </row>
    <row r="263" spans="1:64">
      <c r="A263" s="529">
        <f>+A262</f>
        <v>4</v>
      </c>
      <c r="B263" s="529" t="s">
        <v>819</v>
      </c>
      <c r="C263" s="529" t="s">
        <v>19</v>
      </c>
      <c r="D263" s="529" t="str">
        <f>VLOOKUP(A263,Tabela8[[No.]:[Institution**]],9,FALSE)</f>
        <v>FCiências.ID</v>
      </c>
      <c r="E263" s="531" t="s">
        <v>41</v>
      </c>
      <c r="F263" s="529">
        <f>HLOOKUP(C263,'5.Equipments'!$AJ$2:$BC$22,(A263+1),FALSE)</f>
        <v>0</v>
      </c>
      <c r="G263" s="526">
        <f t="shared" si="44"/>
        <v>0</v>
      </c>
      <c r="H263" s="525">
        <f>IFERROR(VLOOKUP($B263,'3.Tasks'!$BK$4:$BO$23,2,FALSE),0)</f>
        <v>0</v>
      </c>
      <c r="I263" s="529">
        <f t="shared" si="40"/>
        <v>0</v>
      </c>
      <c r="J263" s="529">
        <f>IFERROR(VLOOKUP($B263,'3.Tasks'!$BK$4:$BO$23,3,FALSE),0)</f>
        <v>0</v>
      </c>
      <c r="K263" s="532">
        <v>0</v>
      </c>
      <c r="L263" s="529">
        <f>IFERROR(VLOOKUP($B263,'3.Tasks'!$BK$4:$BO$23,4,FALSE),0)</f>
        <v>0</v>
      </c>
      <c r="M263" s="532">
        <v>0</v>
      </c>
      <c r="N263" s="529">
        <f>IFERROR(VLOOKUP($B263,'3.Tasks'!$BK$4:$BO$23,5,FALSE),0)</f>
        <v>0</v>
      </c>
      <c r="O263" s="532">
        <v>0</v>
      </c>
      <c r="P263" s="530">
        <f t="shared" si="45"/>
        <v>0</v>
      </c>
      <c r="AJ263" s="110"/>
      <c r="AK263" s="110"/>
      <c r="AL263" s="110"/>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row>
    <row r="264" spans="1:64">
      <c r="A264" s="529">
        <f t="shared" ref="A264:A281" si="46">+A263</f>
        <v>4</v>
      </c>
      <c r="B264" s="529" t="s">
        <v>820</v>
      </c>
      <c r="C264" s="529" t="s">
        <v>20</v>
      </c>
      <c r="D264" s="529" t="str">
        <f>VLOOKUP(A264,Tabela8[[No.]:[Institution**]],9,FALSE)</f>
        <v>FCiências.ID</v>
      </c>
      <c r="E264" s="531" t="s">
        <v>41</v>
      </c>
      <c r="F264" s="529">
        <f>HLOOKUP(C264,'5.Equipments'!$AJ$2:$BC$22,(A264+1),FALSE)</f>
        <v>0</v>
      </c>
      <c r="G264" s="526">
        <f t="shared" si="44"/>
        <v>0</v>
      </c>
      <c r="H264" s="525">
        <f>IFERROR(VLOOKUP($B264,'3.Tasks'!$BK$4:$BO$23,2,FALSE),0)</f>
        <v>0</v>
      </c>
      <c r="I264" s="529">
        <f t="shared" si="40"/>
        <v>0</v>
      </c>
      <c r="J264" s="529">
        <f>IFERROR(VLOOKUP($B264,'3.Tasks'!$BK$4:$BO$23,3,FALSE),0)</f>
        <v>0</v>
      </c>
      <c r="K264" s="532">
        <v>0</v>
      </c>
      <c r="L264" s="529">
        <f>IFERROR(VLOOKUP($B264,'3.Tasks'!$BK$4:$BO$23,4,FALSE),0)</f>
        <v>0</v>
      </c>
      <c r="M264" s="532">
        <v>0</v>
      </c>
      <c r="N264" s="529">
        <f>IFERROR(VLOOKUP($B264,'3.Tasks'!$BK$4:$BO$23,5,FALSE),0)</f>
        <v>0</v>
      </c>
      <c r="O264" s="532">
        <v>0</v>
      </c>
      <c r="P264" s="530">
        <f t="shared" si="45"/>
        <v>0</v>
      </c>
      <c r="AJ264" s="110"/>
      <c r="AK264" s="110"/>
      <c r="AL264" s="110"/>
      <c r="AM264" s="110"/>
      <c r="AN264" s="110"/>
      <c r="AO264" s="110"/>
      <c r="AP264" s="110"/>
      <c r="AQ264" s="110"/>
      <c r="AR264" s="110"/>
      <c r="AS264" s="110"/>
      <c r="AT264" s="110"/>
      <c r="AU264" s="110"/>
      <c r="AV264" s="110"/>
      <c r="AW264" s="110"/>
      <c r="AX264" s="110"/>
      <c r="AY264" s="110"/>
      <c r="AZ264" s="110"/>
      <c r="BA264" s="110"/>
      <c r="BB264" s="110"/>
      <c r="BC264" s="110"/>
      <c r="BD264" s="110"/>
      <c r="BE264" s="110"/>
      <c r="BF264" s="110"/>
      <c r="BG264" s="110"/>
      <c r="BH264" s="110"/>
      <c r="BI264" s="110"/>
      <c r="BJ264" s="110"/>
      <c r="BK264" s="110"/>
      <c r="BL264" s="110"/>
    </row>
    <row r="265" spans="1:64">
      <c r="A265" s="529">
        <f t="shared" si="46"/>
        <v>4</v>
      </c>
      <c r="B265" s="529" t="s">
        <v>821</v>
      </c>
      <c r="C265" s="529" t="s">
        <v>21</v>
      </c>
      <c r="D265" s="529" t="str">
        <f>VLOOKUP(A265,Tabela8[[No.]:[Institution**]],9,FALSE)</f>
        <v>FCiências.ID</v>
      </c>
      <c r="E265" s="531" t="s">
        <v>41</v>
      </c>
      <c r="F265" s="529">
        <f>HLOOKUP(C265,'5.Equipments'!$AJ$2:$BC$22,(A265+1),FALSE)</f>
        <v>0</v>
      </c>
      <c r="G265" s="526">
        <f t="shared" si="44"/>
        <v>0</v>
      </c>
      <c r="H265" s="525">
        <f>IFERROR(VLOOKUP($B265,'3.Tasks'!$BK$4:$BO$23,2,FALSE),0)</f>
        <v>0</v>
      </c>
      <c r="I265" s="529">
        <f t="shared" si="40"/>
        <v>0</v>
      </c>
      <c r="J265" s="529">
        <f>IFERROR(VLOOKUP($B265,'3.Tasks'!$BK$4:$BO$23,3,FALSE),0)</f>
        <v>0</v>
      </c>
      <c r="K265" s="532">
        <v>0</v>
      </c>
      <c r="L265" s="529">
        <f>IFERROR(VLOOKUP($B265,'3.Tasks'!$BK$4:$BO$23,4,FALSE),0)</f>
        <v>0</v>
      </c>
      <c r="M265" s="532">
        <v>0</v>
      </c>
      <c r="N265" s="529">
        <f>IFERROR(VLOOKUP($B265,'3.Tasks'!$BK$4:$BO$23,5,FALSE),0)</f>
        <v>0</v>
      </c>
      <c r="O265" s="532">
        <v>0</v>
      </c>
      <c r="P265" s="530">
        <f t="shared" si="45"/>
        <v>0</v>
      </c>
      <c r="AJ265" s="110"/>
      <c r="AK265" s="110"/>
      <c r="AL265" s="110"/>
      <c r="AM265" s="110"/>
      <c r="AN265" s="110"/>
      <c r="AO265" s="110"/>
      <c r="AP265" s="110"/>
      <c r="AQ265" s="110"/>
      <c r="AR265" s="110"/>
      <c r="AS265" s="110"/>
      <c r="AT265" s="110"/>
      <c r="AU265" s="110"/>
      <c r="AV265" s="110"/>
      <c r="AW265" s="110"/>
      <c r="AX265" s="110"/>
      <c r="AY265" s="110"/>
      <c r="AZ265" s="110"/>
      <c r="BA265" s="110"/>
      <c r="BB265" s="110"/>
      <c r="BC265" s="110"/>
      <c r="BD265" s="110"/>
      <c r="BE265" s="110"/>
      <c r="BF265" s="110"/>
      <c r="BG265" s="110"/>
      <c r="BH265" s="110"/>
      <c r="BI265" s="110"/>
      <c r="BJ265" s="110"/>
      <c r="BK265" s="110"/>
      <c r="BL265" s="110"/>
    </row>
    <row r="266" spans="1:64">
      <c r="A266" s="529">
        <f t="shared" si="46"/>
        <v>4</v>
      </c>
      <c r="B266" s="529" t="s">
        <v>822</v>
      </c>
      <c r="C266" s="529" t="s">
        <v>22</v>
      </c>
      <c r="D266" s="529" t="str">
        <f>VLOOKUP(A266,Tabela8[[No.]:[Institution**]],9,FALSE)</f>
        <v>FCiências.ID</v>
      </c>
      <c r="E266" s="531" t="s">
        <v>41</v>
      </c>
      <c r="F266" s="529">
        <f>HLOOKUP(C266,'5.Equipments'!$AJ$2:$BC$22,(A266+1),FALSE)</f>
        <v>0</v>
      </c>
      <c r="G266" s="526">
        <f t="shared" si="44"/>
        <v>0</v>
      </c>
      <c r="H266" s="525">
        <f>IFERROR(VLOOKUP($B266,'3.Tasks'!$BK$4:$BO$23,2,FALSE),0)</f>
        <v>0</v>
      </c>
      <c r="I266" s="529">
        <f t="shared" si="40"/>
        <v>0</v>
      </c>
      <c r="J266" s="529">
        <f>IFERROR(VLOOKUP($B266,'3.Tasks'!$BK$4:$BO$23,3,FALSE),0)</f>
        <v>0</v>
      </c>
      <c r="K266" s="532">
        <v>0</v>
      </c>
      <c r="L266" s="529">
        <f>IFERROR(VLOOKUP($B266,'3.Tasks'!$BK$4:$BO$23,4,FALSE),0)</f>
        <v>0</v>
      </c>
      <c r="M266" s="532">
        <v>0</v>
      </c>
      <c r="N266" s="529">
        <f>IFERROR(VLOOKUP($B266,'3.Tasks'!$BK$4:$BO$23,5,FALSE),0)</f>
        <v>0</v>
      </c>
      <c r="O266" s="532">
        <v>0</v>
      </c>
      <c r="P266" s="530">
        <f t="shared" si="45"/>
        <v>0</v>
      </c>
      <c r="AJ266" s="110"/>
      <c r="AK266" s="110"/>
      <c r="AL266" s="110"/>
      <c r="AM266" s="110"/>
      <c r="AN266" s="110"/>
      <c r="AO266" s="110"/>
      <c r="AP266" s="110"/>
      <c r="AQ266" s="110"/>
      <c r="AR266" s="110"/>
      <c r="AS266" s="110"/>
      <c r="AT266" s="110"/>
      <c r="AU266" s="110"/>
      <c r="AV266" s="110"/>
      <c r="AW266" s="110"/>
      <c r="AX266" s="110"/>
      <c r="AY266" s="110"/>
      <c r="AZ266" s="110"/>
      <c r="BA266" s="110"/>
      <c r="BB266" s="110"/>
      <c r="BC266" s="110"/>
      <c r="BD266" s="110"/>
      <c r="BE266" s="110"/>
      <c r="BF266" s="110"/>
      <c r="BG266" s="110"/>
      <c r="BH266" s="110"/>
      <c r="BI266" s="110"/>
      <c r="BJ266" s="110"/>
      <c r="BK266" s="110"/>
      <c r="BL266" s="110"/>
    </row>
    <row r="267" spans="1:64">
      <c r="A267" s="529">
        <f t="shared" si="46"/>
        <v>4</v>
      </c>
      <c r="B267" s="529" t="s">
        <v>823</v>
      </c>
      <c r="C267" s="529" t="s">
        <v>23</v>
      </c>
      <c r="D267" s="529" t="str">
        <f>VLOOKUP(A267,Tabela8[[No.]:[Institution**]],9,FALSE)</f>
        <v>FCiências.ID</v>
      </c>
      <c r="E267" s="531" t="s">
        <v>41</v>
      </c>
      <c r="F267" s="529">
        <f>HLOOKUP(C267,'5.Equipments'!$AJ$2:$BC$22,(A267+1),FALSE)</f>
        <v>0</v>
      </c>
      <c r="G267" s="526">
        <f t="shared" si="44"/>
        <v>0</v>
      </c>
      <c r="H267" s="525">
        <f>IFERROR(VLOOKUP($B267,'3.Tasks'!$BK$4:$BO$23,2,FALSE),0)</f>
        <v>0</v>
      </c>
      <c r="I267" s="529">
        <f t="shared" ref="I267:I330" si="47">+F267</f>
        <v>0</v>
      </c>
      <c r="J267" s="529">
        <f>IFERROR(VLOOKUP($B267,'3.Tasks'!$BK$4:$BO$23,3,FALSE),0)</f>
        <v>0</v>
      </c>
      <c r="K267" s="532">
        <v>0</v>
      </c>
      <c r="L267" s="529">
        <f>IFERROR(VLOOKUP($B267,'3.Tasks'!$BK$4:$BO$23,4,FALSE),0)</f>
        <v>0</v>
      </c>
      <c r="M267" s="532">
        <v>0</v>
      </c>
      <c r="N267" s="529">
        <f>IFERROR(VLOOKUP($B267,'3.Tasks'!$BK$4:$BO$23,5,FALSE),0)</f>
        <v>0</v>
      </c>
      <c r="O267" s="532">
        <v>0</v>
      </c>
      <c r="P267" s="530">
        <f t="shared" si="45"/>
        <v>0</v>
      </c>
      <c r="AJ267" s="110"/>
      <c r="AK267" s="110"/>
      <c r="AL267" s="110"/>
      <c r="AM267" s="110"/>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row>
    <row r="268" spans="1:64">
      <c r="A268" s="529">
        <f t="shared" si="46"/>
        <v>4</v>
      </c>
      <c r="B268" s="529" t="s">
        <v>824</v>
      </c>
      <c r="C268" s="529" t="s">
        <v>24</v>
      </c>
      <c r="D268" s="529" t="str">
        <f>VLOOKUP(A268,Tabela8[[No.]:[Institution**]],9,FALSE)</f>
        <v>FCiências.ID</v>
      </c>
      <c r="E268" s="531" t="s">
        <v>41</v>
      </c>
      <c r="F268" s="529">
        <f>HLOOKUP(C268,'5.Equipments'!$AJ$2:$BC$22,(A268+1),FALSE)</f>
        <v>0</v>
      </c>
      <c r="G268" s="526">
        <f t="shared" si="44"/>
        <v>0</v>
      </c>
      <c r="H268" s="525">
        <f>IFERROR(VLOOKUP($B268,'3.Tasks'!$BK$4:$BO$23,2,FALSE),0)</f>
        <v>0</v>
      </c>
      <c r="I268" s="529">
        <f t="shared" si="47"/>
        <v>0</v>
      </c>
      <c r="J268" s="529">
        <f>IFERROR(VLOOKUP($B268,'3.Tasks'!$BK$4:$BO$23,3,FALSE),0)</f>
        <v>0</v>
      </c>
      <c r="K268" s="532">
        <v>0</v>
      </c>
      <c r="L268" s="529">
        <f>IFERROR(VLOOKUP($B268,'3.Tasks'!$BK$4:$BO$23,4,FALSE),0)</f>
        <v>0</v>
      </c>
      <c r="M268" s="532">
        <v>0</v>
      </c>
      <c r="N268" s="529">
        <f>IFERROR(VLOOKUP($B268,'3.Tasks'!$BK$4:$BO$23,5,FALSE),0)</f>
        <v>0</v>
      </c>
      <c r="O268" s="532">
        <v>0</v>
      </c>
      <c r="P268" s="530">
        <f t="shared" si="45"/>
        <v>0</v>
      </c>
      <c r="AJ268" s="110"/>
      <c r="AK268" s="110"/>
      <c r="AL268" s="110"/>
      <c r="AM268" s="110"/>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row>
    <row r="269" spans="1:64">
      <c r="A269" s="529">
        <f t="shared" si="46"/>
        <v>4</v>
      </c>
      <c r="B269" s="529" t="s">
        <v>825</v>
      </c>
      <c r="C269" s="529" t="s">
        <v>25</v>
      </c>
      <c r="D269" s="529" t="str">
        <f>VLOOKUP(A269,Tabela8[[No.]:[Institution**]],9,FALSE)</f>
        <v>FCiências.ID</v>
      </c>
      <c r="E269" s="531" t="s">
        <v>41</v>
      </c>
      <c r="F269" s="529">
        <f>HLOOKUP(C269,'5.Equipments'!$AJ$2:$BC$22,(A269+1),FALSE)</f>
        <v>0</v>
      </c>
      <c r="G269" s="526">
        <f t="shared" si="44"/>
        <v>0</v>
      </c>
      <c r="H269" s="525">
        <f>IFERROR(VLOOKUP($B269,'3.Tasks'!$BK$4:$BO$23,2,FALSE),0)</f>
        <v>0</v>
      </c>
      <c r="I269" s="529">
        <f t="shared" si="47"/>
        <v>0</v>
      </c>
      <c r="J269" s="529">
        <f>IFERROR(VLOOKUP($B269,'3.Tasks'!$BK$4:$BO$23,3,FALSE),0)</f>
        <v>0</v>
      </c>
      <c r="K269" s="532">
        <v>0</v>
      </c>
      <c r="L269" s="529">
        <f>IFERROR(VLOOKUP($B269,'3.Tasks'!$BK$4:$BO$23,4,FALSE),0)</f>
        <v>0</v>
      </c>
      <c r="M269" s="532">
        <v>0</v>
      </c>
      <c r="N269" s="529">
        <f>IFERROR(VLOOKUP($B269,'3.Tasks'!$BK$4:$BO$23,5,FALSE),0)</f>
        <v>0</v>
      </c>
      <c r="O269" s="532">
        <v>0</v>
      </c>
      <c r="P269" s="530">
        <f t="shared" si="45"/>
        <v>0</v>
      </c>
      <c r="AJ269" s="110"/>
      <c r="AK269" s="110"/>
      <c r="AL269" s="110"/>
      <c r="AM269" s="110"/>
      <c r="AN269" s="110"/>
      <c r="AO269" s="110"/>
      <c r="AP269" s="110"/>
      <c r="AQ269" s="110"/>
      <c r="AR269" s="110"/>
      <c r="AS269" s="110"/>
      <c r="AT269" s="110"/>
      <c r="AU269" s="110"/>
      <c r="AV269" s="110"/>
      <c r="AW269" s="110"/>
      <c r="AX269" s="110"/>
      <c r="AY269" s="110"/>
      <c r="AZ269" s="110"/>
      <c r="BA269" s="110"/>
      <c r="BB269" s="110"/>
      <c r="BC269" s="110"/>
      <c r="BD269" s="110"/>
      <c r="BE269" s="110"/>
      <c r="BF269" s="110"/>
      <c r="BG269" s="110"/>
      <c r="BH269" s="110"/>
      <c r="BI269" s="110"/>
      <c r="BJ269" s="110"/>
      <c r="BK269" s="110"/>
      <c r="BL269" s="110"/>
    </row>
    <row r="270" spans="1:64">
      <c r="A270" s="529">
        <f t="shared" si="46"/>
        <v>4</v>
      </c>
      <c r="B270" s="529" t="s">
        <v>826</v>
      </c>
      <c r="C270" s="529" t="s">
        <v>26</v>
      </c>
      <c r="D270" s="529" t="str">
        <f>VLOOKUP(A270,Tabela8[[No.]:[Institution**]],9,FALSE)</f>
        <v>FCiências.ID</v>
      </c>
      <c r="E270" s="531" t="s">
        <v>41</v>
      </c>
      <c r="F270" s="529">
        <f>HLOOKUP(C270,'5.Equipments'!$AJ$2:$BC$22,(A270+1),FALSE)</f>
        <v>0</v>
      </c>
      <c r="G270" s="526">
        <f t="shared" si="44"/>
        <v>0</v>
      </c>
      <c r="H270" s="525">
        <f>IFERROR(VLOOKUP($B270,'3.Tasks'!$BK$4:$BO$23,2,FALSE),0)</f>
        <v>0</v>
      </c>
      <c r="I270" s="529">
        <f t="shared" si="47"/>
        <v>0</v>
      </c>
      <c r="J270" s="529">
        <f>IFERROR(VLOOKUP($B270,'3.Tasks'!$BK$4:$BO$23,3,FALSE),0)</f>
        <v>0</v>
      </c>
      <c r="K270" s="532">
        <v>0</v>
      </c>
      <c r="L270" s="529">
        <f>IFERROR(VLOOKUP($B270,'3.Tasks'!$BK$4:$BO$23,4,FALSE),0)</f>
        <v>0</v>
      </c>
      <c r="M270" s="532">
        <v>0</v>
      </c>
      <c r="N270" s="529">
        <f>IFERROR(VLOOKUP($B270,'3.Tasks'!$BK$4:$BO$23,5,FALSE),0)</f>
        <v>0</v>
      </c>
      <c r="O270" s="532">
        <v>0</v>
      </c>
      <c r="P270" s="530">
        <f t="shared" si="45"/>
        <v>0</v>
      </c>
      <c r="AJ270" s="110"/>
      <c r="AK270" s="110"/>
      <c r="AL270" s="110"/>
      <c r="AM270" s="110"/>
      <c r="AN270" s="110"/>
      <c r="AO270" s="110"/>
      <c r="AP270" s="110"/>
      <c r="AQ270" s="110"/>
      <c r="AR270" s="110"/>
      <c r="AS270" s="110"/>
      <c r="AT270" s="110"/>
      <c r="AU270" s="110"/>
      <c r="AV270" s="110"/>
      <c r="AW270" s="110"/>
      <c r="AX270" s="110"/>
      <c r="AY270" s="110"/>
      <c r="AZ270" s="110"/>
      <c r="BA270" s="110"/>
      <c r="BB270" s="110"/>
      <c r="BC270" s="110"/>
      <c r="BD270" s="110"/>
      <c r="BE270" s="110"/>
      <c r="BF270" s="110"/>
      <c r="BG270" s="110"/>
      <c r="BH270" s="110"/>
      <c r="BI270" s="110"/>
      <c r="BJ270" s="110"/>
      <c r="BK270" s="110"/>
      <c r="BL270" s="110"/>
    </row>
    <row r="271" spans="1:64">
      <c r="A271" s="529">
        <f t="shared" si="46"/>
        <v>4</v>
      </c>
      <c r="B271" s="529" t="s">
        <v>827</v>
      </c>
      <c r="C271" s="529" t="s">
        <v>27</v>
      </c>
      <c r="D271" s="529" t="str">
        <f>VLOOKUP(A271,Tabela8[[No.]:[Institution**]],9,FALSE)</f>
        <v>FCiências.ID</v>
      </c>
      <c r="E271" s="531" t="s">
        <v>41</v>
      </c>
      <c r="F271" s="529">
        <f>HLOOKUP(C271,'5.Equipments'!$AJ$2:$BC$22,(A271+1),FALSE)</f>
        <v>0</v>
      </c>
      <c r="G271" s="526">
        <f t="shared" si="44"/>
        <v>0</v>
      </c>
      <c r="H271" s="525">
        <f>IFERROR(VLOOKUP($B271,'3.Tasks'!$BK$4:$BO$23,2,FALSE),0)</f>
        <v>0</v>
      </c>
      <c r="I271" s="529">
        <f t="shared" si="47"/>
        <v>0</v>
      </c>
      <c r="J271" s="529">
        <f>IFERROR(VLOOKUP($B271,'3.Tasks'!$BK$4:$BO$23,3,FALSE),0)</f>
        <v>0</v>
      </c>
      <c r="K271" s="532">
        <v>0</v>
      </c>
      <c r="L271" s="529">
        <f>IFERROR(VLOOKUP($B271,'3.Tasks'!$BK$4:$BO$23,4,FALSE),0)</f>
        <v>0</v>
      </c>
      <c r="M271" s="532">
        <v>0</v>
      </c>
      <c r="N271" s="529">
        <f>IFERROR(VLOOKUP($B271,'3.Tasks'!$BK$4:$BO$23,5,FALSE),0)</f>
        <v>0</v>
      </c>
      <c r="O271" s="532">
        <v>0</v>
      </c>
      <c r="P271" s="530">
        <f t="shared" si="45"/>
        <v>0</v>
      </c>
      <c r="AJ271" s="110"/>
      <c r="AK271" s="110"/>
      <c r="AL271" s="110"/>
      <c r="AM271" s="110"/>
      <c r="AN271" s="110"/>
      <c r="AO271" s="110"/>
      <c r="AP271" s="110"/>
      <c r="AQ271" s="110"/>
      <c r="AR271" s="110"/>
      <c r="AS271" s="110"/>
      <c r="AT271" s="110"/>
      <c r="AU271" s="110"/>
      <c r="AV271" s="110"/>
      <c r="AW271" s="110"/>
      <c r="AX271" s="110"/>
      <c r="AY271" s="110"/>
      <c r="AZ271" s="110"/>
      <c r="BA271" s="110"/>
      <c r="BB271" s="110"/>
      <c r="BC271" s="110"/>
      <c r="BD271" s="110"/>
      <c r="BE271" s="110"/>
      <c r="BF271" s="110"/>
      <c r="BG271" s="110"/>
      <c r="BH271" s="110"/>
      <c r="BI271" s="110"/>
      <c r="BJ271" s="110"/>
      <c r="BK271" s="110"/>
      <c r="BL271" s="110"/>
    </row>
    <row r="272" spans="1:64">
      <c r="A272" s="529">
        <f t="shared" si="46"/>
        <v>4</v>
      </c>
      <c r="B272" s="529" t="s">
        <v>828</v>
      </c>
      <c r="C272" s="529" t="s">
        <v>28</v>
      </c>
      <c r="D272" s="529" t="str">
        <f>VLOOKUP(A272,Tabela8[[No.]:[Institution**]],9,FALSE)</f>
        <v>FCiências.ID</v>
      </c>
      <c r="E272" s="531" t="s">
        <v>41</v>
      </c>
      <c r="F272" s="529">
        <f>HLOOKUP(C272,'5.Equipments'!$AJ$2:$BC$22,(A272+1),FALSE)</f>
        <v>0</v>
      </c>
      <c r="G272" s="526">
        <f t="shared" si="44"/>
        <v>0</v>
      </c>
      <c r="H272" s="525">
        <f>IFERROR(VLOOKUP($B272,'3.Tasks'!$BK$4:$BO$23,2,FALSE),0)</f>
        <v>0</v>
      </c>
      <c r="I272" s="529">
        <f t="shared" si="47"/>
        <v>0</v>
      </c>
      <c r="J272" s="529">
        <f>IFERROR(VLOOKUP($B272,'3.Tasks'!$BK$4:$BO$23,3,FALSE),0)</f>
        <v>0</v>
      </c>
      <c r="K272" s="532">
        <v>0</v>
      </c>
      <c r="L272" s="529">
        <f>IFERROR(VLOOKUP($B272,'3.Tasks'!$BK$4:$BO$23,4,FALSE),0)</f>
        <v>0</v>
      </c>
      <c r="M272" s="532">
        <v>0</v>
      </c>
      <c r="N272" s="529">
        <f>IFERROR(VLOOKUP($B272,'3.Tasks'!$BK$4:$BO$23,5,FALSE),0)</f>
        <v>0</v>
      </c>
      <c r="O272" s="532">
        <v>0</v>
      </c>
      <c r="P272" s="530">
        <f t="shared" si="45"/>
        <v>0</v>
      </c>
      <c r="AJ272" s="110"/>
      <c r="AK272" s="110"/>
      <c r="AL272" s="110"/>
      <c r="AM272" s="110"/>
      <c r="AN272" s="110"/>
      <c r="AO272" s="110"/>
      <c r="AP272" s="110"/>
      <c r="AQ272" s="110"/>
      <c r="AR272" s="110"/>
      <c r="AS272" s="110"/>
      <c r="AT272" s="110"/>
      <c r="AU272" s="110"/>
      <c r="AV272" s="110"/>
      <c r="AW272" s="110"/>
      <c r="AX272" s="110"/>
      <c r="AY272" s="110"/>
      <c r="AZ272" s="110"/>
      <c r="BA272" s="110"/>
      <c r="BB272" s="110"/>
      <c r="BC272" s="110"/>
      <c r="BD272" s="110"/>
      <c r="BE272" s="110"/>
      <c r="BF272" s="110"/>
      <c r="BG272" s="110"/>
      <c r="BH272" s="110"/>
      <c r="BI272" s="110"/>
      <c r="BJ272" s="110"/>
      <c r="BK272" s="110"/>
      <c r="BL272" s="110"/>
    </row>
    <row r="273" spans="1:64">
      <c r="A273" s="529">
        <f t="shared" si="46"/>
        <v>4</v>
      </c>
      <c r="B273" s="529" t="s">
        <v>829</v>
      </c>
      <c r="C273" s="529" t="s">
        <v>29</v>
      </c>
      <c r="D273" s="529" t="str">
        <f>VLOOKUP(A273,Tabela8[[No.]:[Institution**]],9,FALSE)</f>
        <v>FCiências.ID</v>
      </c>
      <c r="E273" s="531" t="s">
        <v>41</v>
      </c>
      <c r="F273" s="529">
        <f>HLOOKUP(C273,'5.Equipments'!$AJ$2:$BC$22,(A273+1),FALSE)</f>
        <v>0</v>
      </c>
      <c r="G273" s="526">
        <f t="shared" si="44"/>
        <v>0</v>
      </c>
      <c r="H273" s="525">
        <f>IFERROR(VLOOKUP($B273,'3.Tasks'!$BK$4:$BO$23,2,FALSE),0)</f>
        <v>0</v>
      </c>
      <c r="I273" s="529">
        <f t="shared" si="47"/>
        <v>0</v>
      </c>
      <c r="J273" s="529">
        <f>IFERROR(VLOOKUP($B273,'3.Tasks'!$BK$4:$BO$23,3,FALSE),0)</f>
        <v>0</v>
      </c>
      <c r="K273" s="532">
        <v>0</v>
      </c>
      <c r="L273" s="529">
        <f>IFERROR(VLOOKUP($B273,'3.Tasks'!$BK$4:$BO$23,4,FALSE),0)</f>
        <v>0</v>
      </c>
      <c r="M273" s="532">
        <v>0</v>
      </c>
      <c r="N273" s="529">
        <f>IFERROR(VLOOKUP($B273,'3.Tasks'!$BK$4:$BO$23,5,FALSE),0)</f>
        <v>0</v>
      </c>
      <c r="O273" s="532">
        <v>0</v>
      </c>
      <c r="P273" s="530">
        <f t="shared" si="45"/>
        <v>0</v>
      </c>
      <c r="AJ273" s="110"/>
      <c r="AK273" s="110"/>
      <c r="AL273" s="110"/>
      <c r="AM273" s="110"/>
      <c r="AN273" s="110"/>
      <c r="AO273" s="110"/>
      <c r="AP273" s="110"/>
      <c r="AQ273" s="110"/>
      <c r="AR273" s="110"/>
      <c r="AS273" s="110"/>
      <c r="AT273" s="110"/>
      <c r="AU273" s="110"/>
      <c r="AV273" s="110"/>
      <c r="AW273" s="110"/>
      <c r="AX273" s="110"/>
      <c r="AY273" s="110"/>
      <c r="AZ273" s="110"/>
      <c r="BA273" s="110"/>
      <c r="BB273" s="110"/>
      <c r="BC273" s="110"/>
      <c r="BD273" s="110"/>
      <c r="BE273" s="110"/>
      <c r="BF273" s="110"/>
      <c r="BG273" s="110"/>
      <c r="BH273" s="110"/>
      <c r="BI273" s="110"/>
      <c r="BJ273" s="110"/>
      <c r="BK273" s="110"/>
      <c r="BL273" s="110"/>
    </row>
    <row r="274" spans="1:64">
      <c r="A274" s="529">
        <f t="shared" si="46"/>
        <v>4</v>
      </c>
      <c r="B274" s="529" t="s">
        <v>830</v>
      </c>
      <c r="C274" s="529" t="s">
        <v>30</v>
      </c>
      <c r="D274" s="529" t="str">
        <f>VLOOKUP(A274,Tabela8[[No.]:[Institution**]],9,FALSE)</f>
        <v>FCiências.ID</v>
      </c>
      <c r="E274" s="531" t="s">
        <v>41</v>
      </c>
      <c r="F274" s="529">
        <f>HLOOKUP(C274,'5.Equipments'!$AJ$2:$BC$22,(A274+1),FALSE)</f>
        <v>0</v>
      </c>
      <c r="G274" s="526">
        <f t="shared" si="44"/>
        <v>0</v>
      </c>
      <c r="H274" s="525">
        <f>IFERROR(VLOOKUP($B274,'3.Tasks'!$BK$4:$BO$23,2,FALSE),0)</f>
        <v>0</v>
      </c>
      <c r="I274" s="529">
        <f t="shared" si="47"/>
        <v>0</v>
      </c>
      <c r="J274" s="529">
        <f>IFERROR(VLOOKUP($B274,'3.Tasks'!$BK$4:$BO$23,3,FALSE),0)</f>
        <v>0</v>
      </c>
      <c r="K274" s="532">
        <v>0</v>
      </c>
      <c r="L274" s="529">
        <f>IFERROR(VLOOKUP($B274,'3.Tasks'!$BK$4:$BO$23,4,FALSE),0)</f>
        <v>0</v>
      </c>
      <c r="M274" s="532">
        <v>0</v>
      </c>
      <c r="N274" s="529">
        <f>IFERROR(VLOOKUP($B274,'3.Tasks'!$BK$4:$BO$23,5,FALSE),0)</f>
        <v>0</v>
      </c>
      <c r="O274" s="532">
        <v>0</v>
      </c>
      <c r="P274" s="530">
        <f t="shared" si="45"/>
        <v>0</v>
      </c>
      <c r="AJ274" s="110"/>
      <c r="AK274" s="110"/>
      <c r="AL274" s="110"/>
      <c r="AM274" s="110"/>
      <c r="AN274" s="110"/>
      <c r="AO274" s="110"/>
      <c r="AP274" s="110"/>
      <c r="AQ274" s="110"/>
      <c r="AR274" s="110"/>
      <c r="AS274" s="110"/>
      <c r="AT274" s="110"/>
      <c r="AU274" s="110"/>
      <c r="AV274" s="110"/>
      <c r="AW274" s="110"/>
      <c r="AX274" s="110"/>
      <c r="AY274" s="110"/>
      <c r="AZ274" s="110"/>
      <c r="BA274" s="110"/>
      <c r="BB274" s="110"/>
      <c r="BC274" s="110"/>
      <c r="BD274" s="110"/>
      <c r="BE274" s="110"/>
      <c r="BF274" s="110"/>
      <c r="BG274" s="110"/>
      <c r="BH274" s="110"/>
      <c r="BI274" s="110"/>
      <c r="BJ274" s="110"/>
      <c r="BK274" s="110"/>
      <c r="BL274" s="110"/>
    </row>
    <row r="275" spans="1:64">
      <c r="A275" s="529">
        <f t="shared" si="46"/>
        <v>4</v>
      </c>
      <c r="B275" s="529" t="s">
        <v>831</v>
      </c>
      <c r="C275" s="529" t="s">
        <v>31</v>
      </c>
      <c r="D275" s="529" t="str">
        <f>VLOOKUP(A275,Tabela8[[No.]:[Institution**]],9,FALSE)</f>
        <v>FCiências.ID</v>
      </c>
      <c r="E275" s="531" t="s">
        <v>41</v>
      </c>
      <c r="F275" s="529">
        <f>HLOOKUP(C275,'5.Equipments'!$AJ$2:$BC$22,(A275+1),FALSE)</f>
        <v>0</v>
      </c>
      <c r="G275" s="526">
        <f t="shared" si="44"/>
        <v>0</v>
      </c>
      <c r="H275" s="525">
        <f>IFERROR(VLOOKUP($B275,'3.Tasks'!$BK$4:$BO$23,2,FALSE),0)</f>
        <v>0</v>
      </c>
      <c r="I275" s="529">
        <f t="shared" si="47"/>
        <v>0</v>
      </c>
      <c r="J275" s="529">
        <f>IFERROR(VLOOKUP($B275,'3.Tasks'!$BK$4:$BO$23,3,FALSE),0)</f>
        <v>0</v>
      </c>
      <c r="K275" s="532">
        <v>0</v>
      </c>
      <c r="L275" s="529">
        <f>IFERROR(VLOOKUP($B275,'3.Tasks'!$BK$4:$BO$23,4,FALSE),0)</f>
        <v>0</v>
      </c>
      <c r="M275" s="532">
        <v>0</v>
      </c>
      <c r="N275" s="529">
        <f>IFERROR(VLOOKUP($B275,'3.Tasks'!$BK$4:$BO$23,5,FALSE),0)</f>
        <v>0</v>
      </c>
      <c r="O275" s="532">
        <v>0</v>
      </c>
      <c r="P275" s="530">
        <f t="shared" si="45"/>
        <v>0</v>
      </c>
      <c r="AJ275" s="110"/>
      <c r="AK275" s="110"/>
      <c r="AL275" s="110"/>
      <c r="AM275" s="110"/>
      <c r="AN275" s="110"/>
      <c r="AO275" s="110"/>
      <c r="AP275" s="110"/>
      <c r="AQ275" s="110"/>
      <c r="AR275" s="110"/>
      <c r="AS275" s="110"/>
      <c r="AT275" s="110"/>
      <c r="AU275" s="110"/>
      <c r="AV275" s="110"/>
      <c r="AW275" s="110"/>
      <c r="AX275" s="110"/>
      <c r="AY275" s="110"/>
      <c r="AZ275" s="110"/>
      <c r="BA275" s="110"/>
      <c r="BB275" s="110"/>
      <c r="BC275" s="110"/>
      <c r="BD275" s="110"/>
      <c r="BE275" s="110"/>
      <c r="BF275" s="110"/>
      <c r="BG275" s="110"/>
      <c r="BH275" s="110"/>
      <c r="BI275" s="110"/>
      <c r="BJ275" s="110"/>
      <c r="BK275" s="110"/>
      <c r="BL275" s="110"/>
    </row>
    <row r="276" spans="1:64">
      <c r="A276" s="529">
        <f t="shared" si="46"/>
        <v>4</v>
      </c>
      <c r="B276" s="529" t="s">
        <v>832</v>
      </c>
      <c r="C276" s="529" t="s">
        <v>32</v>
      </c>
      <c r="D276" s="529" t="str">
        <f>VLOOKUP(A276,Tabela8[[No.]:[Institution**]],9,FALSE)</f>
        <v>FCiências.ID</v>
      </c>
      <c r="E276" s="531" t="s">
        <v>41</v>
      </c>
      <c r="F276" s="529">
        <f>HLOOKUP(C276,'5.Equipments'!$AJ$2:$BC$22,(A276+1),FALSE)</f>
        <v>0</v>
      </c>
      <c r="G276" s="526">
        <f t="shared" si="44"/>
        <v>0</v>
      </c>
      <c r="H276" s="525">
        <f>IFERROR(VLOOKUP($B276,'3.Tasks'!$BK$4:$BO$23,2,FALSE),0)</f>
        <v>0</v>
      </c>
      <c r="I276" s="529">
        <f t="shared" si="47"/>
        <v>0</v>
      </c>
      <c r="J276" s="529">
        <f>IFERROR(VLOOKUP($B276,'3.Tasks'!$BK$4:$BO$23,3,FALSE),0)</f>
        <v>0</v>
      </c>
      <c r="K276" s="532">
        <v>0</v>
      </c>
      <c r="L276" s="529">
        <f>IFERROR(VLOOKUP($B276,'3.Tasks'!$BK$4:$BO$23,4,FALSE),0)</f>
        <v>0</v>
      </c>
      <c r="M276" s="532">
        <v>0</v>
      </c>
      <c r="N276" s="529">
        <f>IFERROR(VLOOKUP($B276,'3.Tasks'!$BK$4:$BO$23,5,FALSE),0)</f>
        <v>0</v>
      </c>
      <c r="O276" s="532">
        <v>0</v>
      </c>
      <c r="P276" s="530">
        <f t="shared" si="45"/>
        <v>0</v>
      </c>
      <c r="AJ276" s="110"/>
      <c r="AK276" s="110"/>
      <c r="AL276" s="110"/>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row>
    <row r="277" spans="1:64">
      <c r="A277" s="529">
        <f t="shared" si="46"/>
        <v>4</v>
      </c>
      <c r="B277" s="529" t="s">
        <v>833</v>
      </c>
      <c r="C277" s="529" t="s">
        <v>33</v>
      </c>
      <c r="D277" s="529" t="str">
        <f>VLOOKUP(A277,Tabela8[[No.]:[Institution**]],9,FALSE)</f>
        <v>FCiências.ID</v>
      </c>
      <c r="E277" s="531" t="s">
        <v>41</v>
      </c>
      <c r="F277" s="529">
        <f>HLOOKUP(C277,'5.Equipments'!$AJ$2:$BC$22,(A277+1),FALSE)</f>
        <v>0</v>
      </c>
      <c r="G277" s="526">
        <f t="shared" si="44"/>
        <v>0</v>
      </c>
      <c r="H277" s="525">
        <f>IFERROR(VLOOKUP($B277,'3.Tasks'!$BK$4:$BO$23,2,FALSE),0)</f>
        <v>0</v>
      </c>
      <c r="I277" s="529">
        <f t="shared" si="47"/>
        <v>0</v>
      </c>
      <c r="J277" s="529">
        <f>IFERROR(VLOOKUP($B277,'3.Tasks'!$BK$4:$BO$23,3,FALSE),0)</f>
        <v>0</v>
      </c>
      <c r="K277" s="532">
        <v>0</v>
      </c>
      <c r="L277" s="529">
        <f>IFERROR(VLOOKUP($B277,'3.Tasks'!$BK$4:$BO$23,4,FALSE),0)</f>
        <v>0</v>
      </c>
      <c r="M277" s="532">
        <v>0</v>
      </c>
      <c r="N277" s="529">
        <f>IFERROR(VLOOKUP($B277,'3.Tasks'!$BK$4:$BO$23,5,FALSE),0)</f>
        <v>0</v>
      </c>
      <c r="O277" s="532">
        <v>0</v>
      </c>
      <c r="P277" s="530">
        <f t="shared" si="45"/>
        <v>0</v>
      </c>
      <c r="AJ277" s="110"/>
      <c r="AK277" s="110"/>
      <c r="AL277" s="110"/>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row>
    <row r="278" spans="1:64">
      <c r="A278" s="529">
        <f t="shared" si="46"/>
        <v>4</v>
      </c>
      <c r="B278" s="529" t="s">
        <v>834</v>
      </c>
      <c r="C278" s="529" t="s">
        <v>34</v>
      </c>
      <c r="D278" s="529" t="str">
        <f>VLOOKUP(A278,Tabela8[[No.]:[Institution**]],9,FALSE)</f>
        <v>FCiências.ID</v>
      </c>
      <c r="E278" s="531" t="s">
        <v>41</v>
      </c>
      <c r="F278" s="529">
        <f>HLOOKUP(C278,'5.Equipments'!$AJ$2:$BC$22,(A278+1),FALSE)</f>
        <v>0</v>
      </c>
      <c r="G278" s="526">
        <f t="shared" si="44"/>
        <v>0</v>
      </c>
      <c r="H278" s="525">
        <f>IFERROR(VLOOKUP($B278,'3.Tasks'!$BK$4:$BO$23,2,FALSE),0)</f>
        <v>0</v>
      </c>
      <c r="I278" s="529">
        <f t="shared" si="47"/>
        <v>0</v>
      </c>
      <c r="J278" s="529">
        <f>IFERROR(VLOOKUP($B278,'3.Tasks'!$BK$4:$BO$23,3,FALSE),0)</f>
        <v>0</v>
      </c>
      <c r="K278" s="532">
        <v>0</v>
      </c>
      <c r="L278" s="529">
        <f>IFERROR(VLOOKUP($B278,'3.Tasks'!$BK$4:$BO$23,4,FALSE),0)</f>
        <v>0</v>
      </c>
      <c r="M278" s="532">
        <v>0</v>
      </c>
      <c r="N278" s="529">
        <f>IFERROR(VLOOKUP($B278,'3.Tasks'!$BK$4:$BO$23,5,FALSE),0)</f>
        <v>0</v>
      </c>
      <c r="O278" s="532">
        <v>0</v>
      </c>
      <c r="P278" s="530">
        <f t="shared" si="45"/>
        <v>0</v>
      </c>
      <c r="AJ278" s="110"/>
      <c r="AK278" s="110"/>
      <c r="AL278" s="110"/>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row>
    <row r="279" spans="1:64">
      <c r="A279" s="529">
        <f t="shared" si="46"/>
        <v>4</v>
      </c>
      <c r="B279" s="529" t="s">
        <v>835</v>
      </c>
      <c r="C279" s="529" t="s">
        <v>35</v>
      </c>
      <c r="D279" s="529" t="str">
        <f>VLOOKUP(A279,Tabela8[[No.]:[Institution**]],9,FALSE)</f>
        <v>FCiências.ID</v>
      </c>
      <c r="E279" s="531" t="s">
        <v>41</v>
      </c>
      <c r="F279" s="529">
        <f>HLOOKUP(C279,'5.Equipments'!$AJ$2:$BC$22,(A279+1),FALSE)</f>
        <v>0</v>
      </c>
      <c r="G279" s="526">
        <f t="shared" si="44"/>
        <v>0</v>
      </c>
      <c r="H279" s="525">
        <f>IFERROR(VLOOKUP($B279,'3.Tasks'!$BK$4:$BO$23,2,FALSE),0)</f>
        <v>0</v>
      </c>
      <c r="I279" s="529">
        <f t="shared" si="47"/>
        <v>0</v>
      </c>
      <c r="J279" s="529">
        <f>IFERROR(VLOOKUP($B279,'3.Tasks'!$BK$4:$BO$23,3,FALSE),0)</f>
        <v>0</v>
      </c>
      <c r="K279" s="532">
        <v>0</v>
      </c>
      <c r="L279" s="529">
        <f>IFERROR(VLOOKUP($B279,'3.Tasks'!$BK$4:$BO$23,4,FALSE),0)</f>
        <v>0</v>
      </c>
      <c r="M279" s="532">
        <v>0</v>
      </c>
      <c r="N279" s="529">
        <f>IFERROR(VLOOKUP($B279,'3.Tasks'!$BK$4:$BO$23,5,FALSE),0)</f>
        <v>0</v>
      </c>
      <c r="O279" s="532">
        <v>0</v>
      </c>
      <c r="P279" s="530">
        <f t="shared" si="45"/>
        <v>0</v>
      </c>
      <c r="AJ279" s="110"/>
      <c r="AK279" s="110"/>
      <c r="AL279" s="110"/>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row>
    <row r="280" spans="1:64">
      <c r="A280" s="529">
        <f t="shared" si="46"/>
        <v>4</v>
      </c>
      <c r="B280" s="529" t="s">
        <v>836</v>
      </c>
      <c r="C280" s="529" t="s">
        <v>36</v>
      </c>
      <c r="D280" s="529" t="str">
        <f>VLOOKUP(A280,Tabela8[[No.]:[Institution**]],9,FALSE)</f>
        <v>FCiências.ID</v>
      </c>
      <c r="E280" s="531" t="s">
        <v>41</v>
      </c>
      <c r="F280" s="529">
        <f>HLOOKUP(C280,'5.Equipments'!$AJ$2:$BC$22,(A280+1),FALSE)</f>
        <v>0</v>
      </c>
      <c r="G280" s="526">
        <f t="shared" si="44"/>
        <v>0</v>
      </c>
      <c r="H280" s="525">
        <f>IFERROR(VLOOKUP($B280,'3.Tasks'!$BK$4:$BO$23,2,FALSE),0)</f>
        <v>0</v>
      </c>
      <c r="I280" s="529">
        <f t="shared" si="47"/>
        <v>0</v>
      </c>
      <c r="J280" s="529">
        <f>IFERROR(VLOOKUP($B280,'3.Tasks'!$BK$4:$BO$23,3,FALSE),0)</f>
        <v>0</v>
      </c>
      <c r="K280" s="532">
        <v>0</v>
      </c>
      <c r="L280" s="529">
        <f>IFERROR(VLOOKUP($B280,'3.Tasks'!$BK$4:$BO$23,4,FALSE),0)</f>
        <v>0</v>
      </c>
      <c r="M280" s="532">
        <v>0</v>
      </c>
      <c r="N280" s="529">
        <f>IFERROR(VLOOKUP($B280,'3.Tasks'!$BK$4:$BO$23,5,FALSE),0)</f>
        <v>0</v>
      </c>
      <c r="O280" s="532">
        <v>0</v>
      </c>
      <c r="P280" s="530">
        <f t="shared" si="45"/>
        <v>0</v>
      </c>
      <c r="AJ280" s="110"/>
      <c r="AK280" s="110"/>
      <c r="AL280" s="110"/>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row>
    <row r="281" spans="1:64">
      <c r="A281" s="529">
        <f t="shared" si="46"/>
        <v>4</v>
      </c>
      <c r="B281" s="529" t="s">
        <v>837</v>
      </c>
      <c r="C281" s="529" t="s">
        <v>37</v>
      </c>
      <c r="D281" s="529" t="str">
        <f>VLOOKUP(A281,Tabela8[[No.]:[Institution**]],9,FALSE)</f>
        <v>FCiências.ID</v>
      </c>
      <c r="E281" s="531" t="s">
        <v>41</v>
      </c>
      <c r="F281" s="529">
        <f>HLOOKUP(C281,'5.Equipments'!$AJ$2:$BC$22,(A281+1),FALSE)</f>
        <v>0</v>
      </c>
      <c r="G281" s="526">
        <f t="shared" si="44"/>
        <v>0</v>
      </c>
      <c r="H281" s="525">
        <f>IFERROR(VLOOKUP($B281,'3.Tasks'!$BK$4:$BO$23,2,FALSE),0)</f>
        <v>0</v>
      </c>
      <c r="I281" s="529">
        <f t="shared" si="47"/>
        <v>0</v>
      </c>
      <c r="J281" s="529">
        <f>IFERROR(VLOOKUP($B281,'3.Tasks'!$BK$4:$BO$23,3,FALSE),0)</f>
        <v>0</v>
      </c>
      <c r="K281" s="532">
        <v>0</v>
      </c>
      <c r="L281" s="529">
        <f>IFERROR(VLOOKUP($B281,'3.Tasks'!$BK$4:$BO$23,4,FALSE),0)</f>
        <v>0</v>
      </c>
      <c r="M281" s="532">
        <v>0</v>
      </c>
      <c r="N281" s="529">
        <f>IFERROR(VLOOKUP($B281,'3.Tasks'!$BK$4:$BO$23,5,FALSE),0)</f>
        <v>0</v>
      </c>
      <c r="O281" s="532">
        <v>0</v>
      </c>
      <c r="P281" s="530">
        <f t="shared" si="45"/>
        <v>0</v>
      </c>
      <c r="AJ281" s="110"/>
      <c r="AK281" s="110"/>
      <c r="AL281" s="110"/>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110"/>
      <c r="BK281" s="110"/>
      <c r="BL281" s="110"/>
    </row>
    <row r="282" spans="1:64">
      <c r="A282" s="529">
        <v>5</v>
      </c>
      <c r="B282" s="529" t="s">
        <v>818</v>
      </c>
      <c r="C282" s="529" t="s">
        <v>18</v>
      </c>
      <c r="D282" s="529" t="str">
        <f>VLOOKUP(A282,Tabela8[[No.]:[Institution**]],9,FALSE)</f>
        <v>FCiências.ID</v>
      </c>
      <c r="E282" s="531" t="s">
        <v>41</v>
      </c>
      <c r="F282" s="529">
        <f>HLOOKUP(C282,'5.Equipments'!$AJ$2:$BC$22,(A282+1),FALSE)</f>
        <v>0</v>
      </c>
      <c r="G282" s="526">
        <f t="shared" si="44"/>
        <v>0</v>
      </c>
      <c r="H282" s="525">
        <f>IFERROR(VLOOKUP($B282,'3.Tasks'!$BK$4:$BO$23,2,FALSE),0)</f>
        <v>0</v>
      </c>
      <c r="I282" s="529">
        <f t="shared" si="47"/>
        <v>0</v>
      </c>
      <c r="J282" s="529">
        <f>IFERROR(VLOOKUP($B282,'3.Tasks'!$BK$4:$BO$23,3,FALSE),0)</f>
        <v>0</v>
      </c>
      <c r="K282" s="532">
        <v>0</v>
      </c>
      <c r="L282" s="529">
        <f>IFERROR(VLOOKUP($B282,'3.Tasks'!$BK$4:$BO$23,4,FALSE),0)</f>
        <v>0</v>
      </c>
      <c r="M282" s="532">
        <v>0</v>
      </c>
      <c r="N282" s="529">
        <f>IFERROR(VLOOKUP($B282,'3.Tasks'!$BK$4:$BO$23,5,FALSE),0)</f>
        <v>0</v>
      </c>
      <c r="O282" s="532">
        <v>0</v>
      </c>
      <c r="P282" s="530">
        <f t="shared" si="45"/>
        <v>0</v>
      </c>
      <c r="AJ282" s="110"/>
      <c r="AK282" s="110"/>
      <c r="AL282" s="110"/>
      <c r="AM282" s="110"/>
      <c r="AN282" s="110"/>
      <c r="AO282" s="110"/>
      <c r="AP282" s="110"/>
      <c r="AQ282" s="110"/>
      <c r="AR282" s="110"/>
      <c r="AS282" s="110"/>
      <c r="AT282" s="110"/>
      <c r="AU282" s="110"/>
      <c r="AV282" s="110"/>
      <c r="AW282" s="110"/>
      <c r="AX282" s="110"/>
      <c r="AY282" s="110"/>
      <c r="AZ282" s="110"/>
      <c r="BA282" s="110"/>
      <c r="BB282" s="110"/>
      <c r="BC282" s="110"/>
      <c r="BD282" s="110"/>
      <c r="BE282" s="110"/>
      <c r="BF282" s="110"/>
      <c r="BG282" s="110"/>
      <c r="BH282" s="110"/>
      <c r="BI282" s="110"/>
      <c r="BJ282" s="110"/>
      <c r="BK282" s="110"/>
      <c r="BL282" s="110"/>
    </row>
    <row r="283" spans="1:64">
      <c r="A283" s="529">
        <f>+A282</f>
        <v>5</v>
      </c>
      <c r="B283" s="529" t="s">
        <v>819</v>
      </c>
      <c r="C283" s="529" t="s">
        <v>19</v>
      </c>
      <c r="D283" s="529" t="str">
        <f>VLOOKUP(A283,Tabela8[[No.]:[Institution**]],9,FALSE)</f>
        <v>FCiências.ID</v>
      </c>
      <c r="E283" s="531" t="s">
        <v>41</v>
      </c>
      <c r="F283" s="529">
        <f>HLOOKUP(C283,'5.Equipments'!$AJ$2:$BC$22,(A283+1),FALSE)</f>
        <v>0</v>
      </c>
      <c r="G283" s="526">
        <f t="shared" si="44"/>
        <v>0</v>
      </c>
      <c r="H283" s="525">
        <f>IFERROR(VLOOKUP($B283,'3.Tasks'!$BK$4:$BO$23,2,FALSE),0)</f>
        <v>0</v>
      </c>
      <c r="I283" s="529">
        <f t="shared" si="47"/>
        <v>0</v>
      </c>
      <c r="J283" s="529">
        <f>IFERROR(VLOOKUP($B283,'3.Tasks'!$BK$4:$BO$23,3,FALSE),0)</f>
        <v>0</v>
      </c>
      <c r="K283" s="532">
        <v>0</v>
      </c>
      <c r="L283" s="529">
        <f>IFERROR(VLOOKUP($B283,'3.Tasks'!$BK$4:$BO$23,4,FALSE),0)</f>
        <v>0</v>
      </c>
      <c r="M283" s="532">
        <v>0</v>
      </c>
      <c r="N283" s="529">
        <f>IFERROR(VLOOKUP($B283,'3.Tasks'!$BK$4:$BO$23,5,FALSE),0)</f>
        <v>0</v>
      </c>
      <c r="O283" s="532">
        <v>0</v>
      </c>
      <c r="P283" s="530">
        <f t="shared" si="45"/>
        <v>0</v>
      </c>
      <c r="AJ283" s="110"/>
      <c r="AK283" s="110"/>
      <c r="AL283" s="110"/>
      <c r="AM283" s="110"/>
      <c r="AN283" s="110"/>
      <c r="AO283" s="110"/>
      <c r="AP283" s="110"/>
      <c r="AQ283" s="110"/>
      <c r="AR283" s="110"/>
      <c r="AS283" s="110"/>
      <c r="AT283" s="110"/>
      <c r="AU283" s="110"/>
      <c r="AV283" s="110"/>
      <c r="AW283" s="110"/>
      <c r="AX283" s="110"/>
      <c r="AY283" s="110"/>
      <c r="AZ283" s="110"/>
      <c r="BA283" s="110"/>
      <c r="BB283" s="110"/>
      <c r="BC283" s="110"/>
      <c r="BD283" s="110"/>
      <c r="BE283" s="110"/>
      <c r="BF283" s="110"/>
      <c r="BG283" s="110"/>
      <c r="BH283" s="110"/>
      <c r="BI283" s="110"/>
      <c r="BJ283" s="110"/>
      <c r="BK283" s="110"/>
      <c r="BL283" s="110"/>
    </row>
    <row r="284" spans="1:64">
      <c r="A284" s="529">
        <f t="shared" ref="A284:A301" si="48">+A283</f>
        <v>5</v>
      </c>
      <c r="B284" s="529" t="s">
        <v>820</v>
      </c>
      <c r="C284" s="529" t="s">
        <v>20</v>
      </c>
      <c r="D284" s="529" t="str">
        <f>VLOOKUP(A284,Tabela8[[No.]:[Institution**]],9,FALSE)</f>
        <v>FCiências.ID</v>
      </c>
      <c r="E284" s="531" t="s">
        <v>41</v>
      </c>
      <c r="F284" s="529">
        <f>HLOOKUP(C284,'5.Equipments'!$AJ$2:$BC$22,(A284+1),FALSE)</f>
        <v>0</v>
      </c>
      <c r="G284" s="526">
        <f t="shared" si="44"/>
        <v>0</v>
      </c>
      <c r="H284" s="525">
        <f>IFERROR(VLOOKUP($B284,'3.Tasks'!$BK$4:$BO$23,2,FALSE),0)</f>
        <v>0</v>
      </c>
      <c r="I284" s="529">
        <f t="shared" si="47"/>
        <v>0</v>
      </c>
      <c r="J284" s="529">
        <f>IFERROR(VLOOKUP($B284,'3.Tasks'!$BK$4:$BO$23,3,FALSE),0)</f>
        <v>0</v>
      </c>
      <c r="K284" s="532">
        <v>0</v>
      </c>
      <c r="L284" s="529">
        <f>IFERROR(VLOOKUP($B284,'3.Tasks'!$BK$4:$BO$23,4,FALSE),0)</f>
        <v>0</v>
      </c>
      <c r="M284" s="532">
        <v>0</v>
      </c>
      <c r="N284" s="529">
        <f>IFERROR(VLOOKUP($B284,'3.Tasks'!$BK$4:$BO$23,5,FALSE),0)</f>
        <v>0</v>
      </c>
      <c r="O284" s="532">
        <v>0</v>
      </c>
      <c r="P284" s="530">
        <f t="shared" si="45"/>
        <v>0</v>
      </c>
      <c r="AJ284" s="110"/>
      <c r="AK284" s="110"/>
      <c r="AL284" s="110"/>
      <c r="AM284" s="110"/>
      <c r="AN284" s="110"/>
      <c r="AO284" s="110"/>
      <c r="AP284" s="110"/>
      <c r="AQ284" s="110"/>
      <c r="AR284" s="110"/>
      <c r="AS284" s="110"/>
      <c r="AT284" s="110"/>
      <c r="AU284" s="110"/>
      <c r="AV284" s="110"/>
      <c r="AW284" s="110"/>
      <c r="AX284" s="110"/>
      <c r="AY284" s="110"/>
      <c r="AZ284" s="110"/>
      <c r="BA284" s="110"/>
      <c r="BB284" s="110"/>
      <c r="BC284" s="110"/>
      <c r="BD284" s="110"/>
      <c r="BE284" s="110"/>
      <c r="BF284" s="110"/>
      <c r="BG284" s="110"/>
      <c r="BH284" s="110"/>
      <c r="BI284" s="110"/>
      <c r="BJ284" s="110"/>
      <c r="BK284" s="110"/>
      <c r="BL284" s="110"/>
    </row>
    <row r="285" spans="1:64">
      <c r="A285" s="529">
        <f t="shared" si="48"/>
        <v>5</v>
      </c>
      <c r="B285" s="529" t="s">
        <v>821</v>
      </c>
      <c r="C285" s="529" t="s">
        <v>21</v>
      </c>
      <c r="D285" s="529" t="str">
        <f>VLOOKUP(A285,Tabela8[[No.]:[Institution**]],9,FALSE)</f>
        <v>FCiências.ID</v>
      </c>
      <c r="E285" s="531" t="s">
        <v>41</v>
      </c>
      <c r="F285" s="529">
        <f>HLOOKUP(C285,'5.Equipments'!$AJ$2:$BC$22,(A285+1),FALSE)</f>
        <v>0</v>
      </c>
      <c r="G285" s="526">
        <f t="shared" si="44"/>
        <v>0</v>
      </c>
      <c r="H285" s="525">
        <f>IFERROR(VLOOKUP($B285,'3.Tasks'!$BK$4:$BO$23,2,FALSE),0)</f>
        <v>0</v>
      </c>
      <c r="I285" s="529">
        <f t="shared" si="47"/>
        <v>0</v>
      </c>
      <c r="J285" s="529">
        <f>IFERROR(VLOOKUP($B285,'3.Tasks'!$BK$4:$BO$23,3,FALSE),0)</f>
        <v>0</v>
      </c>
      <c r="K285" s="532">
        <v>0</v>
      </c>
      <c r="L285" s="529">
        <f>IFERROR(VLOOKUP($B285,'3.Tasks'!$BK$4:$BO$23,4,FALSE),0)</f>
        <v>0</v>
      </c>
      <c r="M285" s="532">
        <v>0</v>
      </c>
      <c r="N285" s="529">
        <f>IFERROR(VLOOKUP($B285,'3.Tasks'!$BK$4:$BO$23,5,FALSE),0)</f>
        <v>0</v>
      </c>
      <c r="O285" s="532">
        <v>0</v>
      </c>
      <c r="P285" s="530">
        <f t="shared" si="45"/>
        <v>0</v>
      </c>
      <c r="AJ285" s="110"/>
      <c r="AK285" s="110"/>
      <c r="AL285" s="110"/>
      <c r="AM285" s="110"/>
      <c r="AN285" s="110"/>
      <c r="AO285" s="110"/>
      <c r="AP285" s="110"/>
      <c r="AQ285" s="110"/>
      <c r="AR285" s="110"/>
      <c r="AS285" s="110"/>
      <c r="AT285" s="110"/>
      <c r="AU285" s="110"/>
      <c r="AV285" s="110"/>
      <c r="AW285" s="110"/>
      <c r="AX285" s="110"/>
      <c r="AY285" s="110"/>
      <c r="AZ285" s="110"/>
      <c r="BA285" s="110"/>
      <c r="BB285" s="110"/>
      <c r="BC285" s="110"/>
      <c r="BD285" s="110"/>
      <c r="BE285" s="110"/>
      <c r="BF285" s="110"/>
      <c r="BG285" s="110"/>
      <c r="BH285" s="110"/>
      <c r="BI285" s="110"/>
      <c r="BJ285" s="110"/>
      <c r="BK285" s="110"/>
      <c r="BL285" s="110"/>
    </row>
    <row r="286" spans="1:64">
      <c r="A286" s="529">
        <f t="shared" si="48"/>
        <v>5</v>
      </c>
      <c r="B286" s="529" t="s">
        <v>822</v>
      </c>
      <c r="C286" s="529" t="s">
        <v>22</v>
      </c>
      <c r="D286" s="529" t="str">
        <f>VLOOKUP(A286,Tabela8[[No.]:[Institution**]],9,FALSE)</f>
        <v>FCiências.ID</v>
      </c>
      <c r="E286" s="531" t="s">
        <v>41</v>
      </c>
      <c r="F286" s="529">
        <f>HLOOKUP(C286,'5.Equipments'!$AJ$2:$BC$22,(A286+1),FALSE)</f>
        <v>0</v>
      </c>
      <c r="G286" s="526">
        <f t="shared" si="44"/>
        <v>0</v>
      </c>
      <c r="H286" s="525">
        <f>IFERROR(VLOOKUP($B286,'3.Tasks'!$BK$4:$BO$23,2,FALSE),0)</f>
        <v>0</v>
      </c>
      <c r="I286" s="529">
        <f t="shared" si="47"/>
        <v>0</v>
      </c>
      <c r="J286" s="529">
        <f>IFERROR(VLOOKUP($B286,'3.Tasks'!$BK$4:$BO$23,3,FALSE),0)</f>
        <v>0</v>
      </c>
      <c r="K286" s="532">
        <v>0</v>
      </c>
      <c r="L286" s="529">
        <f>IFERROR(VLOOKUP($B286,'3.Tasks'!$BK$4:$BO$23,4,FALSE),0)</f>
        <v>0</v>
      </c>
      <c r="M286" s="532">
        <v>0</v>
      </c>
      <c r="N286" s="529">
        <f>IFERROR(VLOOKUP($B286,'3.Tasks'!$BK$4:$BO$23,5,FALSE),0)</f>
        <v>0</v>
      </c>
      <c r="O286" s="532">
        <v>0</v>
      </c>
      <c r="P286" s="530">
        <f t="shared" si="45"/>
        <v>0</v>
      </c>
      <c r="AJ286" s="110"/>
      <c r="AK286" s="110"/>
      <c r="AL286" s="110"/>
      <c r="AM286" s="110"/>
      <c r="AN286" s="110"/>
      <c r="AO286" s="110"/>
      <c r="AP286" s="110"/>
      <c r="AQ286" s="110"/>
      <c r="AR286" s="110"/>
      <c r="AS286" s="110"/>
      <c r="AT286" s="110"/>
      <c r="AU286" s="110"/>
      <c r="AV286" s="110"/>
      <c r="AW286" s="110"/>
      <c r="AX286" s="110"/>
      <c r="AY286" s="110"/>
      <c r="AZ286" s="110"/>
      <c r="BA286" s="110"/>
      <c r="BB286" s="110"/>
      <c r="BC286" s="110"/>
      <c r="BD286" s="110"/>
      <c r="BE286" s="110"/>
      <c r="BF286" s="110"/>
      <c r="BG286" s="110"/>
      <c r="BH286" s="110"/>
      <c r="BI286" s="110"/>
      <c r="BJ286" s="110"/>
      <c r="BK286" s="110"/>
      <c r="BL286" s="110"/>
    </row>
    <row r="287" spans="1:64">
      <c r="A287" s="529">
        <f t="shared" si="48"/>
        <v>5</v>
      </c>
      <c r="B287" s="529" t="s">
        <v>823</v>
      </c>
      <c r="C287" s="529" t="s">
        <v>23</v>
      </c>
      <c r="D287" s="529" t="str">
        <f>VLOOKUP(A287,Tabela8[[No.]:[Institution**]],9,FALSE)</f>
        <v>FCiências.ID</v>
      </c>
      <c r="E287" s="531" t="s">
        <v>41</v>
      </c>
      <c r="F287" s="529">
        <f>HLOOKUP(C287,'5.Equipments'!$AJ$2:$BC$22,(A287+1),FALSE)</f>
        <v>0</v>
      </c>
      <c r="G287" s="526">
        <f t="shared" si="44"/>
        <v>0</v>
      </c>
      <c r="H287" s="525">
        <f>IFERROR(VLOOKUP($B287,'3.Tasks'!$BK$4:$BO$23,2,FALSE),0)</f>
        <v>0</v>
      </c>
      <c r="I287" s="529">
        <f t="shared" si="47"/>
        <v>0</v>
      </c>
      <c r="J287" s="529">
        <f>IFERROR(VLOOKUP($B287,'3.Tasks'!$BK$4:$BO$23,3,FALSE),0)</f>
        <v>0</v>
      </c>
      <c r="K287" s="532">
        <v>0</v>
      </c>
      <c r="L287" s="529">
        <f>IFERROR(VLOOKUP($B287,'3.Tasks'!$BK$4:$BO$23,4,FALSE),0)</f>
        <v>0</v>
      </c>
      <c r="M287" s="532">
        <v>0</v>
      </c>
      <c r="N287" s="529">
        <f>IFERROR(VLOOKUP($B287,'3.Tasks'!$BK$4:$BO$23,5,FALSE),0)</f>
        <v>0</v>
      </c>
      <c r="O287" s="532">
        <v>0</v>
      </c>
      <c r="P287" s="530">
        <f t="shared" si="45"/>
        <v>0</v>
      </c>
      <c r="AJ287" s="110"/>
      <c r="AK287" s="110"/>
      <c r="AL287" s="110"/>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row>
    <row r="288" spans="1:64">
      <c r="A288" s="529">
        <f t="shared" si="48"/>
        <v>5</v>
      </c>
      <c r="B288" s="529" t="s">
        <v>824</v>
      </c>
      <c r="C288" s="529" t="s">
        <v>24</v>
      </c>
      <c r="D288" s="529" t="str">
        <f>VLOOKUP(A288,Tabela8[[No.]:[Institution**]],9,FALSE)</f>
        <v>FCiências.ID</v>
      </c>
      <c r="E288" s="531" t="s">
        <v>41</v>
      </c>
      <c r="F288" s="529">
        <f>HLOOKUP(C288,'5.Equipments'!$AJ$2:$BC$22,(A288+1),FALSE)</f>
        <v>0</v>
      </c>
      <c r="G288" s="526">
        <f t="shared" si="44"/>
        <v>0</v>
      </c>
      <c r="H288" s="525">
        <f>IFERROR(VLOOKUP($B288,'3.Tasks'!$BK$4:$BO$23,2,FALSE),0)</f>
        <v>0</v>
      </c>
      <c r="I288" s="529">
        <f t="shared" si="47"/>
        <v>0</v>
      </c>
      <c r="J288" s="529">
        <f>IFERROR(VLOOKUP($B288,'3.Tasks'!$BK$4:$BO$23,3,FALSE),0)</f>
        <v>0</v>
      </c>
      <c r="K288" s="532">
        <v>0</v>
      </c>
      <c r="L288" s="529">
        <f>IFERROR(VLOOKUP($B288,'3.Tasks'!$BK$4:$BO$23,4,FALSE),0)</f>
        <v>0</v>
      </c>
      <c r="M288" s="532">
        <v>0</v>
      </c>
      <c r="N288" s="529">
        <f>IFERROR(VLOOKUP($B288,'3.Tasks'!$BK$4:$BO$23,5,FALSE),0)</f>
        <v>0</v>
      </c>
      <c r="O288" s="532">
        <v>0</v>
      </c>
      <c r="P288" s="530">
        <f t="shared" si="45"/>
        <v>0</v>
      </c>
      <c r="AJ288" s="110"/>
      <c r="AK288" s="110"/>
      <c r="AL288" s="110"/>
      <c r="AM288" s="110"/>
      <c r="AN288" s="110"/>
      <c r="AO288" s="110"/>
      <c r="AP288" s="110"/>
      <c r="AQ288" s="110"/>
      <c r="AR288" s="110"/>
      <c r="AS288" s="110"/>
      <c r="AT288" s="110"/>
      <c r="AU288" s="110"/>
      <c r="AV288" s="110"/>
      <c r="AW288" s="110"/>
      <c r="AX288" s="110"/>
      <c r="AY288" s="110"/>
      <c r="AZ288" s="110"/>
      <c r="BA288" s="110"/>
      <c r="BB288" s="110"/>
      <c r="BC288" s="110"/>
      <c r="BD288" s="110"/>
      <c r="BE288" s="110"/>
      <c r="BF288" s="110"/>
      <c r="BG288" s="110"/>
      <c r="BH288" s="110"/>
      <c r="BI288" s="110"/>
      <c r="BJ288" s="110"/>
      <c r="BK288" s="110"/>
      <c r="BL288" s="110"/>
    </row>
    <row r="289" spans="1:64">
      <c r="A289" s="529">
        <f t="shared" si="48"/>
        <v>5</v>
      </c>
      <c r="B289" s="529" t="s">
        <v>825</v>
      </c>
      <c r="C289" s="529" t="s">
        <v>25</v>
      </c>
      <c r="D289" s="529" t="str">
        <f>VLOOKUP(A289,Tabela8[[No.]:[Institution**]],9,FALSE)</f>
        <v>FCiências.ID</v>
      </c>
      <c r="E289" s="531" t="s">
        <v>41</v>
      </c>
      <c r="F289" s="529">
        <f>HLOOKUP(C289,'5.Equipments'!$AJ$2:$BC$22,(A289+1),FALSE)</f>
        <v>0</v>
      </c>
      <c r="G289" s="526">
        <f t="shared" si="44"/>
        <v>0</v>
      </c>
      <c r="H289" s="525">
        <f>IFERROR(VLOOKUP($B289,'3.Tasks'!$BK$4:$BO$23,2,FALSE),0)</f>
        <v>0</v>
      </c>
      <c r="I289" s="529">
        <f t="shared" si="47"/>
        <v>0</v>
      </c>
      <c r="J289" s="529">
        <f>IFERROR(VLOOKUP($B289,'3.Tasks'!$BK$4:$BO$23,3,FALSE),0)</f>
        <v>0</v>
      </c>
      <c r="K289" s="532">
        <v>0</v>
      </c>
      <c r="L289" s="529">
        <f>IFERROR(VLOOKUP($B289,'3.Tasks'!$BK$4:$BO$23,4,FALSE),0)</f>
        <v>0</v>
      </c>
      <c r="M289" s="532">
        <v>0</v>
      </c>
      <c r="N289" s="529">
        <f>IFERROR(VLOOKUP($B289,'3.Tasks'!$BK$4:$BO$23,5,FALSE),0)</f>
        <v>0</v>
      </c>
      <c r="O289" s="532">
        <v>0</v>
      </c>
      <c r="P289" s="530">
        <f t="shared" si="45"/>
        <v>0</v>
      </c>
      <c r="AJ289" s="110"/>
      <c r="AK289" s="110"/>
      <c r="AL289" s="110"/>
      <c r="AM289" s="110"/>
      <c r="AN289" s="110"/>
      <c r="AO289" s="110"/>
      <c r="AP289" s="110"/>
      <c r="AQ289" s="110"/>
      <c r="AR289" s="110"/>
      <c r="AS289" s="110"/>
      <c r="AT289" s="110"/>
      <c r="AU289" s="110"/>
      <c r="AV289" s="110"/>
      <c r="AW289" s="110"/>
      <c r="AX289" s="110"/>
      <c r="AY289" s="110"/>
      <c r="AZ289" s="110"/>
      <c r="BA289" s="110"/>
      <c r="BB289" s="110"/>
      <c r="BC289" s="110"/>
      <c r="BD289" s="110"/>
      <c r="BE289" s="110"/>
      <c r="BF289" s="110"/>
      <c r="BG289" s="110"/>
      <c r="BH289" s="110"/>
      <c r="BI289" s="110"/>
      <c r="BJ289" s="110"/>
      <c r="BK289" s="110"/>
      <c r="BL289" s="110"/>
    </row>
    <row r="290" spans="1:64">
      <c r="A290" s="529">
        <f t="shared" si="48"/>
        <v>5</v>
      </c>
      <c r="B290" s="529" t="s">
        <v>826</v>
      </c>
      <c r="C290" s="529" t="s">
        <v>26</v>
      </c>
      <c r="D290" s="529" t="str">
        <f>VLOOKUP(A290,Tabela8[[No.]:[Institution**]],9,FALSE)</f>
        <v>FCiências.ID</v>
      </c>
      <c r="E290" s="531" t="s">
        <v>41</v>
      </c>
      <c r="F290" s="529">
        <f>HLOOKUP(C290,'5.Equipments'!$AJ$2:$BC$22,(A290+1),FALSE)</f>
        <v>0</v>
      </c>
      <c r="G290" s="526">
        <f t="shared" si="44"/>
        <v>0</v>
      </c>
      <c r="H290" s="525">
        <f>IFERROR(VLOOKUP($B290,'3.Tasks'!$BK$4:$BO$23,2,FALSE),0)</f>
        <v>0</v>
      </c>
      <c r="I290" s="529">
        <f t="shared" si="47"/>
        <v>0</v>
      </c>
      <c r="J290" s="529">
        <f>IFERROR(VLOOKUP($B290,'3.Tasks'!$BK$4:$BO$23,3,FALSE),0)</f>
        <v>0</v>
      </c>
      <c r="K290" s="532">
        <v>0</v>
      </c>
      <c r="L290" s="529">
        <f>IFERROR(VLOOKUP($B290,'3.Tasks'!$BK$4:$BO$23,4,FALSE),0)</f>
        <v>0</v>
      </c>
      <c r="M290" s="532">
        <v>0</v>
      </c>
      <c r="N290" s="529">
        <f>IFERROR(VLOOKUP($B290,'3.Tasks'!$BK$4:$BO$23,5,FALSE),0)</f>
        <v>0</v>
      </c>
      <c r="O290" s="532">
        <v>0</v>
      </c>
      <c r="P290" s="530">
        <f t="shared" si="45"/>
        <v>0</v>
      </c>
      <c r="AJ290" s="110"/>
      <c r="AK290" s="110"/>
      <c r="AL290" s="110"/>
      <c r="AM290" s="110"/>
      <c r="AN290" s="110"/>
      <c r="AO290" s="110"/>
      <c r="AP290" s="110"/>
      <c r="AQ290" s="110"/>
      <c r="AR290" s="110"/>
      <c r="AS290" s="110"/>
      <c r="AT290" s="110"/>
      <c r="AU290" s="110"/>
      <c r="AV290" s="110"/>
      <c r="AW290" s="110"/>
      <c r="AX290" s="110"/>
      <c r="AY290" s="110"/>
      <c r="AZ290" s="110"/>
      <c r="BA290" s="110"/>
      <c r="BB290" s="110"/>
      <c r="BC290" s="110"/>
      <c r="BD290" s="110"/>
      <c r="BE290" s="110"/>
      <c r="BF290" s="110"/>
      <c r="BG290" s="110"/>
      <c r="BH290" s="110"/>
      <c r="BI290" s="110"/>
      <c r="BJ290" s="110"/>
      <c r="BK290" s="110"/>
      <c r="BL290" s="110"/>
    </row>
    <row r="291" spans="1:64">
      <c r="A291" s="529">
        <f t="shared" si="48"/>
        <v>5</v>
      </c>
      <c r="B291" s="529" t="s">
        <v>827</v>
      </c>
      <c r="C291" s="529" t="s">
        <v>27</v>
      </c>
      <c r="D291" s="529" t="str">
        <f>VLOOKUP(A291,Tabela8[[No.]:[Institution**]],9,FALSE)</f>
        <v>FCiências.ID</v>
      </c>
      <c r="E291" s="531" t="s">
        <v>41</v>
      </c>
      <c r="F291" s="529">
        <f>HLOOKUP(C291,'5.Equipments'!$AJ$2:$BC$22,(A291+1),FALSE)</f>
        <v>0</v>
      </c>
      <c r="G291" s="526">
        <f t="shared" si="44"/>
        <v>0</v>
      </c>
      <c r="H291" s="525">
        <f>IFERROR(VLOOKUP($B291,'3.Tasks'!$BK$4:$BO$23,2,FALSE),0)</f>
        <v>0</v>
      </c>
      <c r="I291" s="529">
        <f t="shared" si="47"/>
        <v>0</v>
      </c>
      <c r="J291" s="529">
        <f>IFERROR(VLOOKUP($B291,'3.Tasks'!$BK$4:$BO$23,3,FALSE),0)</f>
        <v>0</v>
      </c>
      <c r="K291" s="532">
        <v>0</v>
      </c>
      <c r="L291" s="529">
        <f>IFERROR(VLOOKUP($B291,'3.Tasks'!$BK$4:$BO$23,4,FALSE),0)</f>
        <v>0</v>
      </c>
      <c r="M291" s="532">
        <v>0</v>
      </c>
      <c r="N291" s="529">
        <f>IFERROR(VLOOKUP($B291,'3.Tasks'!$BK$4:$BO$23,5,FALSE),0)</f>
        <v>0</v>
      </c>
      <c r="O291" s="532">
        <v>0</v>
      </c>
      <c r="P291" s="530">
        <f t="shared" si="45"/>
        <v>0</v>
      </c>
      <c r="AJ291" s="110"/>
      <c r="AK291" s="110"/>
      <c r="AL291" s="110"/>
      <c r="AM291" s="110"/>
      <c r="AN291" s="110"/>
      <c r="AO291" s="110"/>
      <c r="AP291" s="110"/>
      <c r="AQ291" s="110"/>
      <c r="AR291" s="110"/>
      <c r="AS291" s="110"/>
      <c r="AT291" s="110"/>
      <c r="AU291" s="110"/>
      <c r="AV291" s="110"/>
      <c r="AW291" s="110"/>
      <c r="AX291" s="110"/>
      <c r="AY291" s="110"/>
      <c r="AZ291" s="110"/>
      <c r="BA291" s="110"/>
      <c r="BB291" s="110"/>
      <c r="BC291" s="110"/>
      <c r="BD291" s="110"/>
      <c r="BE291" s="110"/>
      <c r="BF291" s="110"/>
      <c r="BG291" s="110"/>
      <c r="BH291" s="110"/>
      <c r="BI291" s="110"/>
      <c r="BJ291" s="110"/>
      <c r="BK291" s="110"/>
      <c r="BL291" s="110"/>
    </row>
    <row r="292" spans="1:64">
      <c r="A292" s="529">
        <f t="shared" si="48"/>
        <v>5</v>
      </c>
      <c r="B292" s="529" t="s">
        <v>828</v>
      </c>
      <c r="C292" s="529" t="s">
        <v>28</v>
      </c>
      <c r="D292" s="529" t="str">
        <f>VLOOKUP(A292,Tabela8[[No.]:[Institution**]],9,FALSE)</f>
        <v>FCiências.ID</v>
      </c>
      <c r="E292" s="531" t="s">
        <v>41</v>
      </c>
      <c r="F292" s="529">
        <f>HLOOKUP(C292,'5.Equipments'!$AJ$2:$BC$22,(A292+1),FALSE)</f>
        <v>0</v>
      </c>
      <c r="G292" s="526">
        <f t="shared" si="44"/>
        <v>0</v>
      </c>
      <c r="H292" s="525">
        <f>IFERROR(VLOOKUP($B292,'3.Tasks'!$BK$4:$BO$23,2,FALSE),0)</f>
        <v>0</v>
      </c>
      <c r="I292" s="529">
        <f t="shared" si="47"/>
        <v>0</v>
      </c>
      <c r="J292" s="529">
        <f>IFERROR(VLOOKUP($B292,'3.Tasks'!$BK$4:$BO$23,3,FALSE),0)</f>
        <v>0</v>
      </c>
      <c r="K292" s="532">
        <v>0</v>
      </c>
      <c r="L292" s="529">
        <f>IFERROR(VLOOKUP($B292,'3.Tasks'!$BK$4:$BO$23,4,FALSE),0)</f>
        <v>0</v>
      </c>
      <c r="M292" s="532">
        <v>0</v>
      </c>
      <c r="N292" s="529">
        <f>IFERROR(VLOOKUP($B292,'3.Tasks'!$BK$4:$BO$23,5,FALSE),0)</f>
        <v>0</v>
      </c>
      <c r="O292" s="532">
        <v>0</v>
      </c>
      <c r="P292" s="530">
        <f t="shared" si="45"/>
        <v>0</v>
      </c>
      <c r="AJ292" s="110"/>
      <c r="AK292" s="110"/>
      <c r="AL292" s="110"/>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row>
    <row r="293" spans="1:64">
      <c r="A293" s="529">
        <f t="shared" si="48"/>
        <v>5</v>
      </c>
      <c r="B293" s="529" t="s">
        <v>829</v>
      </c>
      <c r="C293" s="529" t="s">
        <v>29</v>
      </c>
      <c r="D293" s="529" t="str">
        <f>VLOOKUP(A293,Tabela8[[No.]:[Institution**]],9,FALSE)</f>
        <v>FCiências.ID</v>
      </c>
      <c r="E293" s="531" t="s">
        <v>41</v>
      </c>
      <c r="F293" s="529">
        <f>HLOOKUP(C293,'5.Equipments'!$AJ$2:$BC$22,(A293+1),FALSE)</f>
        <v>0</v>
      </c>
      <c r="G293" s="526">
        <f t="shared" si="44"/>
        <v>0</v>
      </c>
      <c r="H293" s="525">
        <f>IFERROR(VLOOKUP($B293,'3.Tasks'!$BK$4:$BO$23,2,FALSE),0)</f>
        <v>0</v>
      </c>
      <c r="I293" s="529">
        <f t="shared" si="47"/>
        <v>0</v>
      </c>
      <c r="J293" s="529">
        <f>IFERROR(VLOOKUP($B293,'3.Tasks'!$BK$4:$BO$23,3,FALSE),0)</f>
        <v>0</v>
      </c>
      <c r="K293" s="532">
        <v>0</v>
      </c>
      <c r="L293" s="529">
        <f>IFERROR(VLOOKUP($B293,'3.Tasks'!$BK$4:$BO$23,4,FALSE),0)</f>
        <v>0</v>
      </c>
      <c r="M293" s="532">
        <v>0</v>
      </c>
      <c r="N293" s="529">
        <f>IFERROR(VLOOKUP($B293,'3.Tasks'!$BK$4:$BO$23,5,FALSE),0)</f>
        <v>0</v>
      </c>
      <c r="O293" s="532">
        <v>0</v>
      </c>
      <c r="P293" s="530">
        <f t="shared" si="45"/>
        <v>0</v>
      </c>
      <c r="AJ293" s="110"/>
      <c r="AK293" s="110"/>
      <c r="AL293" s="110"/>
      <c r="AM293" s="110"/>
      <c r="AN293" s="110"/>
      <c r="AO293" s="110"/>
      <c r="AP293" s="110"/>
      <c r="AQ293" s="110"/>
      <c r="AR293" s="110"/>
      <c r="AS293" s="110"/>
      <c r="AT293" s="110"/>
      <c r="AU293" s="110"/>
      <c r="AV293" s="110"/>
      <c r="AW293" s="110"/>
      <c r="AX293" s="110"/>
      <c r="AY293" s="110"/>
      <c r="AZ293" s="110"/>
      <c r="BA293" s="110"/>
      <c r="BB293" s="110"/>
      <c r="BC293" s="110"/>
      <c r="BD293" s="110"/>
      <c r="BE293" s="110"/>
      <c r="BF293" s="110"/>
      <c r="BG293" s="110"/>
      <c r="BH293" s="110"/>
      <c r="BI293" s="110"/>
      <c r="BJ293" s="110"/>
      <c r="BK293" s="110"/>
      <c r="BL293" s="110"/>
    </row>
    <row r="294" spans="1:64">
      <c r="A294" s="529">
        <f t="shared" si="48"/>
        <v>5</v>
      </c>
      <c r="B294" s="529" t="s">
        <v>830</v>
      </c>
      <c r="C294" s="529" t="s">
        <v>30</v>
      </c>
      <c r="D294" s="529" t="str">
        <f>VLOOKUP(A294,Tabela8[[No.]:[Institution**]],9,FALSE)</f>
        <v>FCiências.ID</v>
      </c>
      <c r="E294" s="531" t="s">
        <v>41</v>
      </c>
      <c r="F294" s="529">
        <f>HLOOKUP(C294,'5.Equipments'!$AJ$2:$BC$22,(A294+1),FALSE)</f>
        <v>0</v>
      </c>
      <c r="G294" s="526">
        <f t="shared" si="44"/>
        <v>0</v>
      </c>
      <c r="H294" s="525">
        <f>IFERROR(VLOOKUP($B294,'3.Tasks'!$BK$4:$BO$23,2,FALSE),0)</f>
        <v>0</v>
      </c>
      <c r="I294" s="529">
        <f t="shared" si="47"/>
        <v>0</v>
      </c>
      <c r="J294" s="529">
        <f>IFERROR(VLOOKUP($B294,'3.Tasks'!$BK$4:$BO$23,3,FALSE),0)</f>
        <v>0</v>
      </c>
      <c r="K294" s="532">
        <v>0</v>
      </c>
      <c r="L294" s="529">
        <f>IFERROR(VLOOKUP($B294,'3.Tasks'!$BK$4:$BO$23,4,FALSE),0)</f>
        <v>0</v>
      </c>
      <c r="M294" s="532">
        <v>0</v>
      </c>
      <c r="N294" s="529">
        <f>IFERROR(VLOOKUP($B294,'3.Tasks'!$BK$4:$BO$23,5,FALSE),0)</f>
        <v>0</v>
      </c>
      <c r="O294" s="532">
        <v>0</v>
      </c>
      <c r="P294" s="530">
        <f t="shared" si="45"/>
        <v>0</v>
      </c>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row>
    <row r="295" spans="1:64">
      <c r="A295" s="529">
        <f t="shared" si="48"/>
        <v>5</v>
      </c>
      <c r="B295" s="529" t="s">
        <v>831</v>
      </c>
      <c r="C295" s="529" t="s">
        <v>31</v>
      </c>
      <c r="D295" s="529" t="str">
        <f>VLOOKUP(A295,Tabela8[[No.]:[Institution**]],9,FALSE)</f>
        <v>FCiências.ID</v>
      </c>
      <c r="E295" s="531" t="s">
        <v>41</v>
      </c>
      <c r="F295" s="529">
        <f>HLOOKUP(C295,'5.Equipments'!$AJ$2:$BC$22,(A295+1),FALSE)</f>
        <v>0</v>
      </c>
      <c r="G295" s="526">
        <f t="shared" si="44"/>
        <v>0</v>
      </c>
      <c r="H295" s="525">
        <f>IFERROR(VLOOKUP($B295,'3.Tasks'!$BK$4:$BO$23,2,FALSE),0)</f>
        <v>0</v>
      </c>
      <c r="I295" s="529">
        <f t="shared" si="47"/>
        <v>0</v>
      </c>
      <c r="J295" s="529">
        <f>IFERROR(VLOOKUP($B295,'3.Tasks'!$BK$4:$BO$23,3,FALSE),0)</f>
        <v>0</v>
      </c>
      <c r="K295" s="532">
        <v>0</v>
      </c>
      <c r="L295" s="529">
        <f>IFERROR(VLOOKUP($B295,'3.Tasks'!$BK$4:$BO$23,4,FALSE),0)</f>
        <v>0</v>
      </c>
      <c r="M295" s="532">
        <v>0</v>
      </c>
      <c r="N295" s="529">
        <f>IFERROR(VLOOKUP($B295,'3.Tasks'!$BK$4:$BO$23,5,FALSE),0)</f>
        <v>0</v>
      </c>
      <c r="O295" s="532">
        <v>0</v>
      </c>
      <c r="P295" s="530">
        <f t="shared" si="45"/>
        <v>0</v>
      </c>
      <c r="AJ295" s="110"/>
      <c r="AK295" s="110"/>
      <c r="AL295" s="110"/>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row>
    <row r="296" spans="1:64">
      <c r="A296" s="529">
        <f t="shared" si="48"/>
        <v>5</v>
      </c>
      <c r="B296" s="529" t="s">
        <v>832</v>
      </c>
      <c r="C296" s="529" t="s">
        <v>32</v>
      </c>
      <c r="D296" s="529" t="str">
        <f>VLOOKUP(A296,Tabela8[[No.]:[Institution**]],9,FALSE)</f>
        <v>FCiências.ID</v>
      </c>
      <c r="E296" s="531" t="s">
        <v>41</v>
      </c>
      <c r="F296" s="529">
        <f>HLOOKUP(C296,'5.Equipments'!$AJ$2:$BC$22,(A296+1),FALSE)</f>
        <v>0</v>
      </c>
      <c r="G296" s="526">
        <f t="shared" si="44"/>
        <v>0</v>
      </c>
      <c r="H296" s="525">
        <f>IFERROR(VLOOKUP($B296,'3.Tasks'!$BK$4:$BO$23,2,FALSE),0)</f>
        <v>0</v>
      </c>
      <c r="I296" s="529">
        <f t="shared" si="47"/>
        <v>0</v>
      </c>
      <c r="J296" s="529">
        <f>IFERROR(VLOOKUP($B296,'3.Tasks'!$BK$4:$BO$23,3,FALSE),0)</f>
        <v>0</v>
      </c>
      <c r="K296" s="532">
        <v>0</v>
      </c>
      <c r="L296" s="529">
        <f>IFERROR(VLOOKUP($B296,'3.Tasks'!$BK$4:$BO$23,4,FALSE),0)</f>
        <v>0</v>
      </c>
      <c r="M296" s="532">
        <v>0</v>
      </c>
      <c r="N296" s="529">
        <f>IFERROR(VLOOKUP($B296,'3.Tasks'!$BK$4:$BO$23,5,FALSE),0)</f>
        <v>0</v>
      </c>
      <c r="O296" s="532">
        <v>0</v>
      </c>
      <c r="P296" s="530">
        <f t="shared" si="45"/>
        <v>0</v>
      </c>
      <c r="AJ296" s="110"/>
      <c r="AK296" s="110"/>
      <c r="AL296" s="110"/>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row>
    <row r="297" spans="1:64">
      <c r="A297" s="529">
        <f t="shared" si="48"/>
        <v>5</v>
      </c>
      <c r="B297" s="529" t="s">
        <v>833</v>
      </c>
      <c r="C297" s="529" t="s">
        <v>33</v>
      </c>
      <c r="D297" s="529" t="str">
        <f>VLOOKUP(A297,Tabela8[[No.]:[Institution**]],9,FALSE)</f>
        <v>FCiências.ID</v>
      </c>
      <c r="E297" s="531" t="s">
        <v>41</v>
      </c>
      <c r="F297" s="529">
        <f>HLOOKUP(C297,'5.Equipments'!$AJ$2:$BC$22,(A297+1),FALSE)</f>
        <v>0</v>
      </c>
      <c r="G297" s="526">
        <f t="shared" si="44"/>
        <v>0</v>
      </c>
      <c r="H297" s="525">
        <f>IFERROR(VLOOKUP($B297,'3.Tasks'!$BK$4:$BO$23,2,FALSE),0)</f>
        <v>0</v>
      </c>
      <c r="I297" s="529">
        <f t="shared" si="47"/>
        <v>0</v>
      </c>
      <c r="J297" s="529">
        <f>IFERROR(VLOOKUP($B297,'3.Tasks'!$BK$4:$BO$23,3,FALSE),0)</f>
        <v>0</v>
      </c>
      <c r="K297" s="532">
        <v>0</v>
      </c>
      <c r="L297" s="529">
        <f>IFERROR(VLOOKUP($B297,'3.Tasks'!$BK$4:$BO$23,4,FALSE),0)</f>
        <v>0</v>
      </c>
      <c r="M297" s="532">
        <v>0</v>
      </c>
      <c r="N297" s="529">
        <f>IFERROR(VLOOKUP($B297,'3.Tasks'!$BK$4:$BO$23,5,FALSE),0)</f>
        <v>0</v>
      </c>
      <c r="O297" s="532">
        <v>0</v>
      </c>
      <c r="P297" s="530">
        <f t="shared" si="45"/>
        <v>0</v>
      </c>
      <c r="AJ297" s="110"/>
      <c r="AK297" s="110"/>
      <c r="AL297" s="110"/>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row>
    <row r="298" spans="1:64">
      <c r="A298" s="529">
        <f t="shared" si="48"/>
        <v>5</v>
      </c>
      <c r="B298" s="529" t="s">
        <v>834</v>
      </c>
      <c r="C298" s="529" t="s">
        <v>34</v>
      </c>
      <c r="D298" s="529" t="str">
        <f>VLOOKUP(A298,Tabela8[[No.]:[Institution**]],9,FALSE)</f>
        <v>FCiências.ID</v>
      </c>
      <c r="E298" s="531" t="s">
        <v>41</v>
      </c>
      <c r="F298" s="529">
        <f>HLOOKUP(C298,'5.Equipments'!$AJ$2:$BC$22,(A298+1),FALSE)</f>
        <v>0</v>
      </c>
      <c r="G298" s="526">
        <f t="shared" si="44"/>
        <v>0</v>
      </c>
      <c r="H298" s="525">
        <f>IFERROR(VLOOKUP($B298,'3.Tasks'!$BK$4:$BO$23,2,FALSE),0)</f>
        <v>0</v>
      </c>
      <c r="I298" s="529">
        <f t="shared" si="47"/>
        <v>0</v>
      </c>
      <c r="J298" s="529">
        <f>IFERROR(VLOOKUP($B298,'3.Tasks'!$BK$4:$BO$23,3,FALSE),0)</f>
        <v>0</v>
      </c>
      <c r="K298" s="532">
        <v>0</v>
      </c>
      <c r="L298" s="529">
        <f>IFERROR(VLOOKUP($B298,'3.Tasks'!$BK$4:$BO$23,4,FALSE),0)</f>
        <v>0</v>
      </c>
      <c r="M298" s="532">
        <v>0</v>
      </c>
      <c r="N298" s="529">
        <f>IFERROR(VLOOKUP($B298,'3.Tasks'!$BK$4:$BO$23,5,FALSE),0)</f>
        <v>0</v>
      </c>
      <c r="O298" s="532">
        <v>0</v>
      </c>
      <c r="P298" s="530">
        <f t="shared" si="45"/>
        <v>0</v>
      </c>
      <c r="AJ298" s="110"/>
      <c r="AK298" s="110"/>
      <c r="AL298" s="110"/>
      <c r="AM298" s="110"/>
      <c r="AN298" s="110"/>
      <c r="AO298" s="110"/>
      <c r="AP298" s="110"/>
      <c r="AQ298" s="110"/>
      <c r="AR298" s="110"/>
      <c r="AS298" s="110"/>
      <c r="AT298" s="110"/>
      <c r="AU298" s="110"/>
      <c r="AV298" s="110"/>
      <c r="AW298" s="110"/>
      <c r="AX298" s="110"/>
      <c r="AY298" s="110"/>
      <c r="AZ298" s="110"/>
      <c r="BA298" s="110"/>
      <c r="BB298" s="110"/>
      <c r="BC298" s="110"/>
      <c r="BD298" s="110"/>
      <c r="BE298" s="110"/>
      <c r="BF298" s="110"/>
      <c r="BG298" s="110"/>
      <c r="BH298" s="110"/>
      <c r="BI298" s="110"/>
      <c r="BJ298" s="110"/>
      <c r="BK298" s="110"/>
      <c r="BL298" s="110"/>
    </row>
    <row r="299" spans="1:64">
      <c r="A299" s="529">
        <f t="shared" si="48"/>
        <v>5</v>
      </c>
      <c r="B299" s="529" t="s">
        <v>835</v>
      </c>
      <c r="C299" s="529" t="s">
        <v>35</v>
      </c>
      <c r="D299" s="529" t="str">
        <f>VLOOKUP(A299,Tabela8[[No.]:[Institution**]],9,FALSE)</f>
        <v>FCiências.ID</v>
      </c>
      <c r="E299" s="531" t="s">
        <v>41</v>
      </c>
      <c r="F299" s="529">
        <f>HLOOKUP(C299,'5.Equipments'!$AJ$2:$BC$22,(A299+1),FALSE)</f>
        <v>0</v>
      </c>
      <c r="G299" s="526">
        <f t="shared" si="44"/>
        <v>0</v>
      </c>
      <c r="H299" s="525">
        <f>IFERROR(VLOOKUP($B299,'3.Tasks'!$BK$4:$BO$23,2,FALSE),0)</f>
        <v>0</v>
      </c>
      <c r="I299" s="529">
        <f t="shared" si="47"/>
        <v>0</v>
      </c>
      <c r="J299" s="529">
        <f>IFERROR(VLOOKUP($B299,'3.Tasks'!$BK$4:$BO$23,3,FALSE),0)</f>
        <v>0</v>
      </c>
      <c r="K299" s="532">
        <v>0</v>
      </c>
      <c r="L299" s="529">
        <f>IFERROR(VLOOKUP($B299,'3.Tasks'!$BK$4:$BO$23,4,FALSE),0)</f>
        <v>0</v>
      </c>
      <c r="M299" s="532">
        <v>0</v>
      </c>
      <c r="N299" s="529">
        <f>IFERROR(VLOOKUP($B299,'3.Tasks'!$BK$4:$BO$23,5,FALSE),0)</f>
        <v>0</v>
      </c>
      <c r="O299" s="532">
        <v>0</v>
      </c>
      <c r="P299" s="530">
        <f t="shared" si="45"/>
        <v>0</v>
      </c>
      <c r="AJ299" s="110"/>
      <c r="AK299" s="110"/>
      <c r="AL299" s="110"/>
      <c r="AM299" s="110"/>
      <c r="AN299" s="110"/>
      <c r="AO299" s="110"/>
      <c r="AP299" s="110"/>
      <c r="AQ299" s="110"/>
      <c r="AR299" s="110"/>
      <c r="AS299" s="110"/>
      <c r="AT299" s="110"/>
      <c r="AU299" s="110"/>
      <c r="AV299" s="110"/>
      <c r="AW299" s="110"/>
      <c r="AX299" s="110"/>
      <c r="AY299" s="110"/>
      <c r="AZ299" s="110"/>
      <c r="BA299" s="110"/>
      <c r="BB299" s="110"/>
      <c r="BC299" s="110"/>
      <c r="BD299" s="110"/>
      <c r="BE299" s="110"/>
      <c r="BF299" s="110"/>
      <c r="BG299" s="110"/>
      <c r="BH299" s="110"/>
      <c r="BI299" s="110"/>
      <c r="BJ299" s="110"/>
      <c r="BK299" s="110"/>
      <c r="BL299" s="110"/>
    </row>
    <row r="300" spans="1:64">
      <c r="A300" s="529">
        <f t="shared" si="48"/>
        <v>5</v>
      </c>
      <c r="B300" s="529" t="s">
        <v>836</v>
      </c>
      <c r="C300" s="529" t="s">
        <v>36</v>
      </c>
      <c r="D300" s="529" t="str">
        <f>VLOOKUP(A300,Tabela8[[No.]:[Institution**]],9,FALSE)</f>
        <v>FCiências.ID</v>
      </c>
      <c r="E300" s="531" t="s">
        <v>41</v>
      </c>
      <c r="F300" s="529">
        <f>HLOOKUP(C300,'5.Equipments'!$AJ$2:$BC$22,(A300+1),FALSE)</f>
        <v>0</v>
      </c>
      <c r="G300" s="526">
        <f t="shared" si="44"/>
        <v>0</v>
      </c>
      <c r="H300" s="525">
        <f>IFERROR(VLOOKUP($B300,'3.Tasks'!$BK$4:$BO$23,2,FALSE),0)</f>
        <v>0</v>
      </c>
      <c r="I300" s="529">
        <f t="shared" si="47"/>
        <v>0</v>
      </c>
      <c r="J300" s="529">
        <f>IFERROR(VLOOKUP($B300,'3.Tasks'!$BK$4:$BO$23,3,FALSE),0)</f>
        <v>0</v>
      </c>
      <c r="K300" s="532">
        <v>0</v>
      </c>
      <c r="L300" s="529">
        <f>IFERROR(VLOOKUP($B300,'3.Tasks'!$BK$4:$BO$23,4,FALSE),0)</f>
        <v>0</v>
      </c>
      <c r="M300" s="532">
        <v>0</v>
      </c>
      <c r="N300" s="529">
        <f>IFERROR(VLOOKUP($B300,'3.Tasks'!$BK$4:$BO$23,5,FALSE),0)</f>
        <v>0</v>
      </c>
      <c r="O300" s="532">
        <v>0</v>
      </c>
      <c r="P300" s="530">
        <f t="shared" si="45"/>
        <v>0</v>
      </c>
      <c r="AJ300" s="110"/>
      <c r="AK300" s="110"/>
      <c r="AL300" s="110"/>
      <c r="AM300" s="110"/>
      <c r="AN300" s="110"/>
      <c r="AO300" s="110"/>
      <c r="AP300" s="110"/>
      <c r="AQ300" s="110"/>
      <c r="AR300" s="110"/>
      <c r="AS300" s="110"/>
      <c r="AT300" s="110"/>
      <c r="AU300" s="110"/>
      <c r="AV300" s="110"/>
      <c r="AW300" s="110"/>
      <c r="AX300" s="110"/>
      <c r="AY300" s="110"/>
      <c r="AZ300" s="110"/>
      <c r="BA300" s="110"/>
      <c r="BB300" s="110"/>
      <c r="BC300" s="110"/>
      <c r="BD300" s="110"/>
      <c r="BE300" s="110"/>
      <c r="BF300" s="110"/>
      <c r="BG300" s="110"/>
      <c r="BH300" s="110"/>
      <c r="BI300" s="110"/>
      <c r="BJ300" s="110"/>
      <c r="BK300" s="110"/>
      <c r="BL300" s="110"/>
    </row>
    <row r="301" spans="1:64">
      <c r="A301" s="529">
        <f t="shared" si="48"/>
        <v>5</v>
      </c>
      <c r="B301" s="529" t="s">
        <v>837</v>
      </c>
      <c r="C301" s="529" t="s">
        <v>37</v>
      </c>
      <c r="D301" s="529" t="str">
        <f>VLOOKUP(A301,Tabela8[[No.]:[Institution**]],9,FALSE)</f>
        <v>FCiências.ID</v>
      </c>
      <c r="E301" s="531" t="s">
        <v>41</v>
      </c>
      <c r="F301" s="529">
        <f>HLOOKUP(C301,'5.Equipments'!$AJ$2:$BC$22,(A301+1),FALSE)</f>
        <v>0</v>
      </c>
      <c r="G301" s="526">
        <f t="shared" si="44"/>
        <v>0</v>
      </c>
      <c r="H301" s="525">
        <f>IFERROR(VLOOKUP($B301,'3.Tasks'!$BK$4:$BO$23,2,FALSE),0)</f>
        <v>0</v>
      </c>
      <c r="I301" s="529">
        <f t="shared" si="47"/>
        <v>0</v>
      </c>
      <c r="J301" s="529">
        <f>IFERROR(VLOOKUP($B301,'3.Tasks'!$BK$4:$BO$23,3,FALSE),0)</f>
        <v>0</v>
      </c>
      <c r="K301" s="532">
        <v>0</v>
      </c>
      <c r="L301" s="529">
        <f>IFERROR(VLOOKUP($B301,'3.Tasks'!$BK$4:$BO$23,4,FALSE),0)</f>
        <v>0</v>
      </c>
      <c r="M301" s="532">
        <v>0</v>
      </c>
      <c r="N301" s="529">
        <f>IFERROR(VLOOKUP($B301,'3.Tasks'!$BK$4:$BO$23,5,FALSE),0)</f>
        <v>0</v>
      </c>
      <c r="O301" s="532">
        <v>0</v>
      </c>
      <c r="P301" s="530">
        <f t="shared" si="45"/>
        <v>0</v>
      </c>
      <c r="AJ301" s="110"/>
      <c r="AK301" s="110"/>
      <c r="AL301" s="110"/>
      <c r="AM301" s="110"/>
      <c r="AN301" s="110"/>
      <c r="AO301" s="110"/>
      <c r="AP301" s="110"/>
      <c r="AQ301" s="110"/>
      <c r="AR301" s="110"/>
      <c r="AS301" s="110"/>
      <c r="AT301" s="110"/>
      <c r="AU301" s="110"/>
      <c r="AV301" s="110"/>
      <c r="AW301" s="110"/>
      <c r="AX301" s="110"/>
      <c r="AY301" s="110"/>
      <c r="AZ301" s="110"/>
      <c r="BA301" s="110"/>
      <c r="BB301" s="110"/>
      <c r="BC301" s="110"/>
      <c r="BD301" s="110"/>
      <c r="BE301" s="110"/>
      <c r="BF301" s="110"/>
      <c r="BG301" s="110"/>
      <c r="BH301" s="110"/>
      <c r="BI301" s="110"/>
      <c r="BJ301" s="110"/>
      <c r="BK301" s="110"/>
      <c r="BL301" s="110"/>
    </row>
    <row r="302" spans="1:64">
      <c r="A302" s="529">
        <v>6</v>
      </c>
      <c r="B302" s="529" t="s">
        <v>818</v>
      </c>
      <c r="C302" s="529" t="s">
        <v>18</v>
      </c>
      <c r="D302" s="529" t="str">
        <f>VLOOKUP(A302,Tabela8[[No.]:[Institution**]],9,FALSE)</f>
        <v>FCiências.ID</v>
      </c>
      <c r="E302" s="531" t="s">
        <v>41</v>
      </c>
      <c r="F302" s="529">
        <f>HLOOKUP(C302,'5.Equipments'!$AJ$2:$BC$22,(A302+1),FALSE)</f>
        <v>0</v>
      </c>
      <c r="G302" s="526">
        <f t="shared" si="44"/>
        <v>0</v>
      </c>
      <c r="H302" s="525">
        <f>IFERROR(VLOOKUP($B302,'3.Tasks'!$BK$4:$BO$23,2,FALSE),0)</f>
        <v>0</v>
      </c>
      <c r="I302" s="529">
        <f t="shared" si="47"/>
        <v>0</v>
      </c>
      <c r="J302" s="529">
        <f>IFERROR(VLOOKUP($B302,'3.Tasks'!$BK$4:$BO$23,3,FALSE),0)</f>
        <v>0</v>
      </c>
      <c r="K302" s="532">
        <v>0</v>
      </c>
      <c r="L302" s="529">
        <f>IFERROR(VLOOKUP($B302,'3.Tasks'!$BK$4:$BO$23,4,FALSE),0)</f>
        <v>0</v>
      </c>
      <c r="M302" s="532">
        <v>0</v>
      </c>
      <c r="N302" s="529">
        <f>IFERROR(VLOOKUP($B302,'3.Tasks'!$BK$4:$BO$23,5,FALSE),0)</f>
        <v>0</v>
      </c>
      <c r="O302" s="532">
        <v>0</v>
      </c>
      <c r="P302" s="530">
        <f t="shared" si="45"/>
        <v>0</v>
      </c>
      <c r="AJ302" s="110"/>
      <c r="AK302" s="110"/>
      <c r="AL302" s="110"/>
      <c r="AM302" s="110"/>
      <c r="AN302" s="110"/>
      <c r="AO302" s="110"/>
      <c r="AP302" s="110"/>
      <c r="AQ302" s="110"/>
      <c r="AR302" s="110"/>
      <c r="AS302" s="110"/>
      <c r="AT302" s="110"/>
      <c r="AU302" s="110"/>
      <c r="AV302" s="110"/>
      <c r="AW302" s="110"/>
      <c r="AX302" s="110"/>
      <c r="AY302" s="110"/>
      <c r="AZ302" s="110"/>
      <c r="BA302" s="110"/>
      <c r="BB302" s="110"/>
      <c r="BC302" s="110"/>
      <c r="BD302" s="110"/>
      <c r="BE302" s="110"/>
      <c r="BF302" s="110"/>
      <c r="BG302" s="110"/>
      <c r="BH302" s="110"/>
      <c r="BI302" s="110"/>
      <c r="BJ302" s="110"/>
      <c r="BK302" s="110"/>
      <c r="BL302" s="110"/>
    </row>
    <row r="303" spans="1:64">
      <c r="A303" s="529">
        <f>+A302</f>
        <v>6</v>
      </c>
      <c r="B303" s="529" t="s">
        <v>819</v>
      </c>
      <c r="C303" s="529" t="s">
        <v>19</v>
      </c>
      <c r="D303" s="529" t="str">
        <f>VLOOKUP(A303,Tabela8[[No.]:[Institution**]],9,FALSE)</f>
        <v>FCiências.ID</v>
      </c>
      <c r="E303" s="531" t="s">
        <v>41</v>
      </c>
      <c r="F303" s="529">
        <f>HLOOKUP(C303,'5.Equipments'!$AJ$2:$BC$22,(A303+1),FALSE)</f>
        <v>0</v>
      </c>
      <c r="G303" s="526">
        <f t="shared" si="44"/>
        <v>0</v>
      </c>
      <c r="H303" s="525">
        <f>IFERROR(VLOOKUP($B303,'3.Tasks'!$BK$4:$BO$23,2,FALSE),0)</f>
        <v>0</v>
      </c>
      <c r="I303" s="529">
        <f t="shared" si="47"/>
        <v>0</v>
      </c>
      <c r="J303" s="529">
        <f>IFERROR(VLOOKUP($B303,'3.Tasks'!$BK$4:$BO$23,3,FALSE),0)</f>
        <v>0</v>
      </c>
      <c r="K303" s="532">
        <v>0</v>
      </c>
      <c r="L303" s="529">
        <f>IFERROR(VLOOKUP($B303,'3.Tasks'!$BK$4:$BO$23,4,FALSE),0)</f>
        <v>0</v>
      </c>
      <c r="M303" s="532">
        <v>0</v>
      </c>
      <c r="N303" s="529">
        <f>IFERROR(VLOOKUP($B303,'3.Tasks'!$BK$4:$BO$23,5,FALSE),0)</f>
        <v>0</v>
      </c>
      <c r="O303" s="532">
        <v>0</v>
      </c>
      <c r="P303" s="530">
        <f t="shared" si="45"/>
        <v>0</v>
      </c>
      <c r="AJ303" s="110"/>
      <c r="AK303" s="110"/>
      <c r="AL303" s="110"/>
      <c r="AM303" s="110"/>
      <c r="AN303" s="110"/>
      <c r="AO303" s="110"/>
      <c r="AP303" s="110"/>
      <c r="AQ303" s="110"/>
      <c r="AR303" s="110"/>
      <c r="AS303" s="110"/>
      <c r="AT303" s="110"/>
      <c r="AU303" s="110"/>
      <c r="AV303" s="110"/>
      <c r="AW303" s="110"/>
      <c r="AX303" s="110"/>
      <c r="AY303" s="110"/>
      <c r="AZ303" s="110"/>
      <c r="BA303" s="110"/>
      <c r="BB303" s="110"/>
      <c r="BC303" s="110"/>
      <c r="BD303" s="110"/>
      <c r="BE303" s="110"/>
      <c r="BF303" s="110"/>
      <c r="BG303" s="110"/>
      <c r="BH303" s="110"/>
      <c r="BI303" s="110"/>
      <c r="BJ303" s="110"/>
      <c r="BK303" s="110"/>
      <c r="BL303" s="110"/>
    </row>
    <row r="304" spans="1:64">
      <c r="A304" s="529">
        <f t="shared" ref="A304:A321" si="49">+A303</f>
        <v>6</v>
      </c>
      <c r="B304" s="529" t="s">
        <v>820</v>
      </c>
      <c r="C304" s="529" t="s">
        <v>20</v>
      </c>
      <c r="D304" s="529" t="str">
        <f>VLOOKUP(A304,Tabela8[[No.]:[Institution**]],9,FALSE)</f>
        <v>FCiências.ID</v>
      </c>
      <c r="E304" s="531" t="s">
        <v>41</v>
      </c>
      <c r="F304" s="529">
        <f>HLOOKUP(C304,'5.Equipments'!$AJ$2:$BC$22,(A304+1),FALSE)</f>
        <v>0</v>
      </c>
      <c r="G304" s="526">
        <f t="shared" si="44"/>
        <v>0</v>
      </c>
      <c r="H304" s="525">
        <f>IFERROR(VLOOKUP($B304,'3.Tasks'!$BK$4:$BO$23,2,FALSE),0)</f>
        <v>0</v>
      </c>
      <c r="I304" s="529">
        <f t="shared" si="47"/>
        <v>0</v>
      </c>
      <c r="J304" s="529">
        <f>IFERROR(VLOOKUP($B304,'3.Tasks'!$BK$4:$BO$23,3,FALSE),0)</f>
        <v>0</v>
      </c>
      <c r="K304" s="532">
        <v>0</v>
      </c>
      <c r="L304" s="529">
        <f>IFERROR(VLOOKUP($B304,'3.Tasks'!$BK$4:$BO$23,4,FALSE),0)</f>
        <v>0</v>
      </c>
      <c r="M304" s="532">
        <v>0</v>
      </c>
      <c r="N304" s="529">
        <f>IFERROR(VLOOKUP($B304,'3.Tasks'!$BK$4:$BO$23,5,FALSE),0)</f>
        <v>0</v>
      </c>
      <c r="O304" s="532">
        <v>0</v>
      </c>
      <c r="P304" s="530">
        <f t="shared" si="45"/>
        <v>0</v>
      </c>
      <c r="AJ304" s="110"/>
      <c r="AK304" s="110"/>
      <c r="AL304" s="110"/>
      <c r="AM304" s="110"/>
      <c r="AN304" s="110"/>
      <c r="AO304" s="110"/>
      <c r="AP304" s="110"/>
      <c r="AQ304" s="110"/>
      <c r="AR304" s="110"/>
      <c r="AS304" s="110"/>
      <c r="AT304" s="110"/>
      <c r="AU304" s="110"/>
      <c r="AV304" s="110"/>
      <c r="AW304" s="110"/>
      <c r="AX304" s="110"/>
      <c r="AY304" s="110"/>
      <c r="AZ304" s="110"/>
      <c r="BA304" s="110"/>
      <c r="BB304" s="110"/>
      <c r="BC304" s="110"/>
      <c r="BD304" s="110"/>
      <c r="BE304" s="110"/>
      <c r="BF304" s="110"/>
      <c r="BG304" s="110"/>
      <c r="BH304" s="110"/>
      <c r="BI304" s="110"/>
      <c r="BJ304" s="110"/>
      <c r="BK304" s="110"/>
      <c r="BL304" s="110"/>
    </row>
    <row r="305" spans="1:64">
      <c r="A305" s="529">
        <f t="shared" si="49"/>
        <v>6</v>
      </c>
      <c r="B305" s="529" t="s">
        <v>821</v>
      </c>
      <c r="C305" s="529" t="s">
        <v>21</v>
      </c>
      <c r="D305" s="529" t="str">
        <f>VLOOKUP(A305,Tabela8[[No.]:[Institution**]],9,FALSE)</f>
        <v>FCiências.ID</v>
      </c>
      <c r="E305" s="531" t="s">
        <v>41</v>
      </c>
      <c r="F305" s="529">
        <f>HLOOKUP(C305,'5.Equipments'!$AJ$2:$BC$22,(A305+1),FALSE)</f>
        <v>0</v>
      </c>
      <c r="G305" s="526">
        <f t="shared" si="44"/>
        <v>0</v>
      </c>
      <c r="H305" s="525">
        <f>IFERROR(VLOOKUP($B305,'3.Tasks'!$BK$4:$BO$23,2,FALSE),0)</f>
        <v>0</v>
      </c>
      <c r="I305" s="529">
        <f t="shared" si="47"/>
        <v>0</v>
      </c>
      <c r="J305" s="529">
        <f>IFERROR(VLOOKUP($B305,'3.Tasks'!$BK$4:$BO$23,3,FALSE),0)</f>
        <v>0</v>
      </c>
      <c r="K305" s="532">
        <v>0</v>
      </c>
      <c r="L305" s="529">
        <f>IFERROR(VLOOKUP($B305,'3.Tasks'!$BK$4:$BO$23,4,FALSE),0)</f>
        <v>0</v>
      </c>
      <c r="M305" s="532">
        <v>0</v>
      </c>
      <c r="N305" s="529">
        <f>IFERROR(VLOOKUP($B305,'3.Tasks'!$BK$4:$BO$23,5,FALSE),0)</f>
        <v>0</v>
      </c>
      <c r="O305" s="532">
        <v>0</v>
      </c>
      <c r="P305" s="530">
        <f t="shared" si="45"/>
        <v>0</v>
      </c>
      <c r="AJ305" s="110"/>
      <c r="AK305" s="110"/>
      <c r="AL305" s="110"/>
      <c r="AM305" s="110"/>
      <c r="AN305" s="110"/>
      <c r="AO305" s="110"/>
      <c r="AP305" s="110"/>
      <c r="AQ305" s="110"/>
      <c r="AR305" s="110"/>
      <c r="AS305" s="110"/>
      <c r="AT305" s="110"/>
      <c r="AU305" s="110"/>
      <c r="AV305" s="110"/>
      <c r="AW305" s="110"/>
      <c r="AX305" s="110"/>
      <c r="AY305" s="110"/>
      <c r="AZ305" s="110"/>
      <c r="BA305" s="110"/>
      <c r="BB305" s="110"/>
      <c r="BC305" s="110"/>
      <c r="BD305" s="110"/>
      <c r="BE305" s="110"/>
      <c r="BF305" s="110"/>
      <c r="BG305" s="110"/>
      <c r="BH305" s="110"/>
      <c r="BI305" s="110"/>
      <c r="BJ305" s="110"/>
      <c r="BK305" s="110"/>
      <c r="BL305" s="110"/>
    </row>
    <row r="306" spans="1:64">
      <c r="A306" s="529">
        <f t="shared" si="49"/>
        <v>6</v>
      </c>
      <c r="B306" s="529" t="s">
        <v>822</v>
      </c>
      <c r="C306" s="529" t="s">
        <v>22</v>
      </c>
      <c r="D306" s="529" t="str">
        <f>VLOOKUP(A306,Tabela8[[No.]:[Institution**]],9,FALSE)</f>
        <v>FCiências.ID</v>
      </c>
      <c r="E306" s="531" t="s">
        <v>41</v>
      </c>
      <c r="F306" s="529">
        <f>HLOOKUP(C306,'5.Equipments'!$AJ$2:$BC$22,(A306+1),FALSE)</f>
        <v>0</v>
      </c>
      <c r="G306" s="526">
        <f t="shared" si="44"/>
        <v>0</v>
      </c>
      <c r="H306" s="525">
        <f>IFERROR(VLOOKUP($B306,'3.Tasks'!$BK$4:$BO$23,2,FALSE),0)</f>
        <v>0</v>
      </c>
      <c r="I306" s="529">
        <f t="shared" si="47"/>
        <v>0</v>
      </c>
      <c r="J306" s="529">
        <f>IFERROR(VLOOKUP($B306,'3.Tasks'!$BK$4:$BO$23,3,FALSE),0)</f>
        <v>0</v>
      </c>
      <c r="K306" s="532">
        <v>0</v>
      </c>
      <c r="L306" s="529">
        <f>IFERROR(VLOOKUP($B306,'3.Tasks'!$BK$4:$BO$23,4,FALSE),0)</f>
        <v>0</v>
      </c>
      <c r="M306" s="532">
        <v>0</v>
      </c>
      <c r="N306" s="529">
        <f>IFERROR(VLOOKUP($B306,'3.Tasks'!$BK$4:$BO$23,5,FALSE),0)</f>
        <v>0</v>
      </c>
      <c r="O306" s="532">
        <v>0</v>
      </c>
      <c r="P306" s="530">
        <f t="shared" si="45"/>
        <v>0</v>
      </c>
      <c r="AJ306" s="110"/>
      <c r="AK306" s="110"/>
      <c r="AL306" s="110"/>
      <c r="AM306" s="110"/>
      <c r="AN306" s="110"/>
      <c r="AO306" s="110"/>
      <c r="AP306" s="110"/>
      <c r="AQ306" s="110"/>
      <c r="AR306" s="110"/>
      <c r="AS306" s="110"/>
      <c r="AT306" s="110"/>
      <c r="AU306" s="110"/>
      <c r="AV306" s="110"/>
      <c r="AW306" s="110"/>
      <c r="AX306" s="110"/>
      <c r="AY306" s="110"/>
      <c r="AZ306" s="110"/>
      <c r="BA306" s="110"/>
      <c r="BB306" s="110"/>
      <c r="BC306" s="110"/>
      <c r="BD306" s="110"/>
      <c r="BE306" s="110"/>
      <c r="BF306" s="110"/>
      <c r="BG306" s="110"/>
      <c r="BH306" s="110"/>
      <c r="BI306" s="110"/>
      <c r="BJ306" s="110"/>
      <c r="BK306" s="110"/>
      <c r="BL306" s="110"/>
    </row>
    <row r="307" spans="1:64">
      <c r="A307" s="529">
        <f t="shared" si="49"/>
        <v>6</v>
      </c>
      <c r="B307" s="529" t="s">
        <v>823</v>
      </c>
      <c r="C307" s="529" t="s">
        <v>23</v>
      </c>
      <c r="D307" s="529" t="str">
        <f>VLOOKUP(A307,Tabela8[[No.]:[Institution**]],9,FALSE)</f>
        <v>FCiências.ID</v>
      </c>
      <c r="E307" s="531" t="s">
        <v>41</v>
      </c>
      <c r="F307" s="529">
        <f>HLOOKUP(C307,'5.Equipments'!$AJ$2:$BC$22,(A307+1),FALSE)</f>
        <v>0</v>
      </c>
      <c r="G307" s="526">
        <f t="shared" si="44"/>
        <v>0</v>
      </c>
      <c r="H307" s="525">
        <f>IFERROR(VLOOKUP($B307,'3.Tasks'!$BK$4:$BO$23,2,FALSE),0)</f>
        <v>0</v>
      </c>
      <c r="I307" s="529">
        <f t="shared" si="47"/>
        <v>0</v>
      </c>
      <c r="J307" s="529">
        <f>IFERROR(VLOOKUP($B307,'3.Tasks'!$BK$4:$BO$23,3,FALSE),0)</f>
        <v>0</v>
      </c>
      <c r="K307" s="532">
        <v>0</v>
      </c>
      <c r="L307" s="529">
        <f>IFERROR(VLOOKUP($B307,'3.Tasks'!$BK$4:$BO$23,4,FALSE),0)</f>
        <v>0</v>
      </c>
      <c r="M307" s="532">
        <v>0</v>
      </c>
      <c r="N307" s="529">
        <f>IFERROR(VLOOKUP($B307,'3.Tasks'!$BK$4:$BO$23,5,FALSE),0)</f>
        <v>0</v>
      </c>
      <c r="O307" s="532">
        <v>0</v>
      </c>
      <c r="P307" s="530">
        <f t="shared" si="45"/>
        <v>0</v>
      </c>
      <c r="AJ307" s="110"/>
      <c r="AK307" s="110"/>
      <c r="AL307" s="110"/>
      <c r="AM307" s="110"/>
      <c r="AN307" s="110"/>
      <c r="AO307" s="110"/>
      <c r="AP307" s="110"/>
      <c r="AQ307" s="110"/>
      <c r="AR307" s="110"/>
      <c r="AS307" s="110"/>
      <c r="AT307" s="110"/>
      <c r="AU307" s="110"/>
      <c r="AV307" s="110"/>
      <c r="AW307" s="110"/>
      <c r="AX307" s="110"/>
      <c r="AY307" s="110"/>
      <c r="AZ307" s="110"/>
      <c r="BA307" s="110"/>
      <c r="BB307" s="110"/>
      <c r="BC307" s="110"/>
      <c r="BD307" s="110"/>
      <c r="BE307" s="110"/>
      <c r="BF307" s="110"/>
      <c r="BG307" s="110"/>
      <c r="BH307" s="110"/>
      <c r="BI307" s="110"/>
      <c r="BJ307" s="110"/>
      <c r="BK307" s="110"/>
      <c r="BL307" s="110"/>
    </row>
    <row r="308" spans="1:64">
      <c r="A308" s="529">
        <f t="shared" si="49"/>
        <v>6</v>
      </c>
      <c r="B308" s="529" t="s">
        <v>824</v>
      </c>
      <c r="C308" s="529" t="s">
        <v>24</v>
      </c>
      <c r="D308" s="529" t="str">
        <f>VLOOKUP(A308,Tabela8[[No.]:[Institution**]],9,FALSE)</f>
        <v>FCiências.ID</v>
      </c>
      <c r="E308" s="531" t="s">
        <v>41</v>
      </c>
      <c r="F308" s="529">
        <f>HLOOKUP(C308,'5.Equipments'!$AJ$2:$BC$22,(A308+1),FALSE)</f>
        <v>0</v>
      </c>
      <c r="G308" s="526">
        <f t="shared" si="44"/>
        <v>0</v>
      </c>
      <c r="H308" s="525">
        <f>IFERROR(VLOOKUP($B308,'3.Tasks'!$BK$4:$BO$23,2,FALSE),0)</f>
        <v>0</v>
      </c>
      <c r="I308" s="529">
        <f t="shared" si="47"/>
        <v>0</v>
      </c>
      <c r="J308" s="529">
        <f>IFERROR(VLOOKUP($B308,'3.Tasks'!$BK$4:$BO$23,3,FALSE),0)</f>
        <v>0</v>
      </c>
      <c r="K308" s="532">
        <v>0</v>
      </c>
      <c r="L308" s="529">
        <f>IFERROR(VLOOKUP($B308,'3.Tasks'!$BK$4:$BO$23,4,FALSE),0)</f>
        <v>0</v>
      </c>
      <c r="M308" s="532">
        <v>0</v>
      </c>
      <c r="N308" s="529">
        <f>IFERROR(VLOOKUP($B308,'3.Tasks'!$BK$4:$BO$23,5,FALSE),0)</f>
        <v>0</v>
      </c>
      <c r="O308" s="532">
        <v>0</v>
      </c>
      <c r="P308" s="530">
        <f t="shared" si="45"/>
        <v>0</v>
      </c>
      <c r="AJ308" s="110"/>
      <c r="AK308" s="110"/>
      <c r="AL308" s="110"/>
      <c r="AM308" s="110"/>
      <c r="AN308" s="110"/>
      <c r="AO308" s="110"/>
      <c r="AP308" s="110"/>
      <c r="AQ308" s="110"/>
      <c r="AR308" s="110"/>
      <c r="AS308" s="110"/>
      <c r="AT308" s="110"/>
      <c r="AU308" s="110"/>
      <c r="AV308" s="110"/>
      <c r="AW308" s="110"/>
      <c r="AX308" s="110"/>
      <c r="AY308" s="110"/>
      <c r="AZ308" s="110"/>
      <c r="BA308" s="110"/>
      <c r="BB308" s="110"/>
      <c r="BC308" s="110"/>
      <c r="BD308" s="110"/>
      <c r="BE308" s="110"/>
      <c r="BF308" s="110"/>
      <c r="BG308" s="110"/>
      <c r="BH308" s="110"/>
      <c r="BI308" s="110"/>
      <c r="BJ308" s="110"/>
      <c r="BK308" s="110"/>
      <c r="BL308" s="110"/>
    </row>
    <row r="309" spans="1:64">
      <c r="A309" s="529">
        <f t="shared" si="49"/>
        <v>6</v>
      </c>
      <c r="B309" s="529" t="s">
        <v>825</v>
      </c>
      <c r="C309" s="529" t="s">
        <v>25</v>
      </c>
      <c r="D309" s="529" t="str">
        <f>VLOOKUP(A309,Tabela8[[No.]:[Institution**]],9,FALSE)</f>
        <v>FCiências.ID</v>
      </c>
      <c r="E309" s="531" t="s">
        <v>41</v>
      </c>
      <c r="F309" s="529">
        <f>HLOOKUP(C309,'5.Equipments'!$AJ$2:$BC$22,(A309+1),FALSE)</f>
        <v>0</v>
      </c>
      <c r="G309" s="526">
        <f t="shared" si="44"/>
        <v>0</v>
      </c>
      <c r="H309" s="525">
        <f>IFERROR(VLOOKUP($B309,'3.Tasks'!$BK$4:$BO$23,2,FALSE),0)</f>
        <v>0</v>
      </c>
      <c r="I309" s="529">
        <f t="shared" si="47"/>
        <v>0</v>
      </c>
      <c r="J309" s="529">
        <f>IFERROR(VLOOKUP($B309,'3.Tasks'!$BK$4:$BO$23,3,FALSE),0)</f>
        <v>0</v>
      </c>
      <c r="K309" s="532">
        <v>0</v>
      </c>
      <c r="L309" s="529">
        <f>IFERROR(VLOOKUP($B309,'3.Tasks'!$BK$4:$BO$23,4,FALSE),0)</f>
        <v>0</v>
      </c>
      <c r="M309" s="532">
        <v>0</v>
      </c>
      <c r="N309" s="529">
        <f>IFERROR(VLOOKUP($B309,'3.Tasks'!$BK$4:$BO$23,5,FALSE),0)</f>
        <v>0</v>
      </c>
      <c r="O309" s="532">
        <v>0</v>
      </c>
      <c r="P309" s="530">
        <f t="shared" si="45"/>
        <v>0</v>
      </c>
      <c r="AJ309" s="110"/>
      <c r="AK309" s="110"/>
      <c r="AL309" s="110"/>
      <c r="AM309" s="110"/>
      <c r="AN309" s="110"/>
      <c r="AO309" s="110"/>
      <c r="AP309" s="110"/>
      <c r="AQ309" s="110"/>
      <c r="AR309" s="110"/>
      <c r="AS309" s="110"/>
      <c r="AT309" s="110"/>
      <c r="AU309" s="110"/>
      <c r="AV309" s="110"/>
      <c r="AW309" s="110"/>
      <c r="AX309" s="110"/>
      <c r="AY309" s="110"/>
      <c r="AZ309" s="110"/>
      <c r="BA309" s="110"/>
      <c r="BB309" s="110"/>
      <c r="BC309" s="110"/>
      <c r="BD309" s="110"/>
      <c r="BE309" s="110"/>
      <c r="BF309" s="110"/>
      <c r="BG309" s="110"/>
      <c r="BH309" s="110"/>
      <c r="BI309" s="110"/>
      <c r="BJ309" s="110"/>
      <c r="BK309" s="110"/>
      <c r="BL309" s="110"/>
    </row>
    <row r="310" spans="1:64">
      <c r="A310" s="529">
        <f t="shared" si="49"/>
        <v>6</v>
      </c>
      <c r="B310" s="529" t="s">
        <v>826</v>
      </c>
      <c r="C310" s="529" t="s">
        <v>26</v>
      </c>
      <c r="D310" s="529" t="str">
        <f>VLOOKUP(A310,Tabela8[[No.]:[Institution**]],9,FALSE)</f>
        <v>FCiências.ID</v>
      </c>
      <c r="E310" s="531" t="s">
        <v>41</v>
      </c>
      <c r="F310" s="529">
        <f>HLOOKUP(C310,'5.Equipments'!$AJ$2:$BC$22,(A310+1),FALSE)</f>
        <v>0</v>
      </c>
      <c r="G310" s="526">
        <f t="shared" si="44"/>
        <v>0</v>
      </c>
      <c r="H310" s="525">
        <f>IFERROR(VLOOKUP($B310,'3.Tasks'!$BK$4:$BO$23,2,FALSE),0)</f>
        <v>0</v>
      </c>
      <c r="I310" s="529">
        <f t="shared" si="47"/>
        <v>0</v>
      </c>
      <c r="J310" s="529">
        <f>IFERROR(VLOOKUP($B310,'3.Tasks'!$BK$4:$BO$23,3,FALSE),0)</f>
        <v>0</v>
      </c>
      <c r="K310" s="532">
        <v>0</v>
      </c>
      <c r="L310" s="529">
        <f>IFERROR(VLOOKUP($B310,'3.Tasks'!$BK$4:$BO$23,4,FALSE),0)</f>
        <v>0</v>
      </c>
      <c r="M310" s="532">
        <v>0</v>
      </c>
      <c r="N310" s="529">
        <f>IFERROR(VLOOKUP($B310,'3.Tasks'!$BK$4:$BO$23,5,FALSE),0)</f>
        <v>0</v>
      </c>
      <c r="O310" s="532">
        <v>0</v>
      </c>
      <c r="P310" s="530">
        <f t="shared" si="45"/>
        <v>0</v>
      </c>
      <c r="AJ310" s="110"/>
      <c r="AK310" s="110"/>
      <c r="AL310" s="110"/>
      <c r="AM310" s="110"/>
      <c r="AN310" s="110"/>
      <c r="AO310" s="110"/>
      <c r="AP310" s="110"/>
      <c r="AQ310" s="110"/>
      <c r="AR310" s="110"/>
      <c r="AS310" s="110"/>
      <c r="AT310" s="110"/>
      <c r="AU310" s="110"/>
      <c r="AV310" s="110"/>
      <c r="AW310" s="110"/>
      <c r="AX310" s="110"/>
      <c r="AY310" s="110"/>
      <c r="AZ310" s="110"/>
      <c r="BA310" s="110"/>
      <c r="BB310" s="110"/>
      <c r="BC310" s="110"/>
      <c r="BD310" s="110"/>
      <c r="BE310" s="110"/>
      <c r="BF310" s="110"/>
      <c r="BG310" s="110"/>
      <c r="BH310" s="110"/>
      <c r="BI310" s="110"/>
      <c r="BJ310" s="110"/>
      <c r="BK310" s="110"/>
      <c r="BL310" s="110"/>
    </row>
    <row r="311" spans="1:64">
      <c r="A311" s="529">
        <f t="shared" si="49"/>
        <v>6</v>
      </c>
      <c r="B311" s="529" t="s">
        <v>827</v>
      </c>
      <c r="C311" s="529" t="s">
        <v>27</v>
      </c>
      <c r="D311" s="529" t="str">
        <f>VLOOKUP(A311,Tabela8[[No.]:[Institution**]],9,FALSE)</f>
        <v>FCiências.ID</v>
      </c>
      <c r="E311" s="531" t="s">
        <v>41</v>
      </c>
      <c r="F311" s="529">
        <f>HLOOKUP(C311,'5.Equipments'!$AJ$2:$BC$22,(A311+1),FALSE)</f>
        <v>0</v>
      </c>
      <c r="G311" s="526">
        <f t="shared" si="44"/>
        <v>0</v>
      </c>
      <c r="H311" s="525">
        <f>IFERROR(VLOOKUP($B311,'3.Tasks'!$BK$4:$BO$23,2,FALSE),0)</f>
        <v>0</v>
      </c>
      <c r="I311" s="529">
        <f t="shared" si="47"/>
        <v>0</v>
      </c>
      <c r="J311" s="529">
        <f>IFERROR(VLOOKUP($B311,'3.Tasks'!$BK$4:$BO$23,3,FALSE),0)</f>
        <v>0</v>
      </c>
      <c r="K311" s="532">
        <v>0</v>
      </c>
      <c r="L311" s="529">
        <f>IFERROR(VLOOKUP($B311,'3.Tasks'!$BK$4:$BO$23,4,FALSE),0)</f>
        <v>0</v>
      </c>
      <c r="M311" s="532">
        <v>0</v>
      </c>
      <c r="N311" s="529">
        <f>IFERROR(VLOOKUP($B311,'3.Tasks'!$BK$4:$BO$23,5,FALSE),0)</f>
        <v>0</v>
      </c>
      <c r="O311" s="532">
        <v>0</v>
      </c>
      <c r="P311" s="530">
        <f t="shared" si="45"/>
        <v>0</v>
      </c>
      <c r="AJ311" s="110"/>
      <c r="AK311" s="110"/>
      <c r="AL311" s="110"/>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c r="BL311" s="110"/>
    </row>
    <row r="312" spans="1:64">
      <c r="A312" s="529">
        <f t="shared" si="49"/>
        <v>6</v>
      </c>
      <c r="B312" s="529" t="s">
        <v>828</v>
      </c>
      <c r="C312" s="529" t="s">
        <v>28</v>
      </c>
      <c r="D312" s="529" t="str">
        <f>VLOOKUP(A312,Tabela8[[No.]:[Institution**]],9,FALSE)</f>
        <v>FCiências.ID</v>
      </c>
      <c r="E312" s="531" t="s">
        <v>41</v>
      </c>
      <c r="F312" s="529">
        <f>HLOOKUP(C312,'5.Equipments'!$AJ$2:$BC$22,(A312+1),FALSE)</f>
        <v>0</v>
      </c>
      <c r="G312" s="526">
        <f t="shared" si="44"/>
        <v>0</v>
      </c>
      <c r="H312" s="525">
        <f>IFERROR(VLOOKUP($B312,'3.Tasks'!$BK$4:$BO$23,2,FALSE),0)</f>
        <v>0</v>
      </c>
      <c r="I312" s="529">
        <f t="shared" si="47"/>
        <v>0</v>
      </c>
      <c r="J312" s="529">
        <f>IFERROR(VLOOKUP($B312,'3.Tasks'!$BK$4:$BO$23,3,FALSE),0)</f>
        <v>0</v>
      </c>
      <c r="K312" s="532">
        <v>0</v>
      </c>
      <c r="L312" s="529">
        <f>IFERROR(VLOOKUP($B312,'3.Tasks'!$BK$4:$BO$23,4,FALSE),0)</f>
        <v>0</v>
      </c>
      <c r="M312" s="532">
        <v>0</v>
      </c>
      <c r="N312" s="529">
        <f>IFERROR(VLOOKUP($B312,'3.Tasks'!$BK$4:$BO$23,5,FALSE),0)</f>
        <v>0</v>
      </c>
      <c r="O312" s="532">
        <v>0</v>
      </c>
      <c r="P312" s="530">
        <f t="shared" si="45"/>
        <v>0</v>
      </c>
      <c r="AJ312" s="110"/>
      <c r="AK312" s="110"/>
      <c r="AL312" s="110"/>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c r="BL312" s="110"/>
    </row>
    <row r="313" spans="1:64">
      <c r="A313" s="529">
        <f t="shared" si="49"/>
        <v>6</v>
      </c>
      <c r="B313" s="529" t="s">
        <v>829</v>
      </c>
      <c r="C313" s="529" t="s">
        <v>29</v>
      </c>
      <c r="D313" s="529" t="str">
        <f>VLOOKUP(A313,Tabela8[[No.]:[Institution**]],9,FALSE)</f>
        <v>FCiências.ID</v>
      </c>
      <c r="E313" s="531" t="s">
        <v>41</v>
      </c>
      <c r="F313" s="529">
        <f>HLOOKUP(C313,'5.Equipments'!$AJ$2:$BC$22,(A313+1),FALSE)</f>
        <v>0</v>
      </c>
      <c r="G313" s="526">
        <f t="shared" si="44"/>
        <v>0</v>
      </c>
      <c r="H313" s="525">
        <f>IFERROR(VLOOKUP($B313,'3.Tasks'!$BK$4:$BO$23,2,FALSE),0)</f>
        <v>0</v>
      </c>
      <c r="I313" s="529">
        <f t="shared" si="47"/>
        <v>0</v>
      </c>
      <c r="J313" s="529">
        <f>IFERROR(VLOOKUP($B313,'3.Tasks'!$BK$4:$BO$23,3,FALSE),0)</f>
        <v>0</v>
      </c>
      <c r="K313" s="532">
        <v>0</v>
      </c>
      <c r="L313" s="529">
        <f>IFERROR(VLOOKUP($B313,'3.Tasks'!$BK$4:$BO$23,4,FALSE),0)</f>
        <v>0</v>
      </c>
      <c r="M313" s="532">
        <v>0</v>
      </c>
      <c r="N313" s="529">
        <f>IFERROR(VLOOKUP($B313,'3.Tasks'!$BK$4:$BO$23,5,FALSE),0)</f>
        <v>0</v>
      </c>
      <c r="O313" s="532">
        <v>0</v>
      </c>
      <c r="P313" s="530">
        <f t="shared" si="45"/>
        <v>0</v>
      </c>
      <c r="AJ313" s="110"/>
      <c r="AK313" s="110"/>
      <c r="AL313" s="110"/>
      <c r="AM313" s="110"/>
      <c r="AN313" s="110"/>
      <c r="AO313" s="110"/>
      <c r="AP313" s="110"/>
      <c r="AQ313" s="110"/>
      <c r="AR313" s="110"/>
      <c r="AS313" s="110"/>
      <c r="AT313" s="110"/>
      <c r="AU313" s="110"/>
      <c r="AV313" s="110"/>
      <c r="AW313" s="110"/>
      <c r="AX313" s="110"/>
      <c r="AY313" s="110"/>
      <c r="AZ313" s="110"/>
      <c r="BA313" s="110"/>
      <c r="BB313" s="110"/>
      <c r="BC313" s="110"/>
      <c r="BD313" s="110"/>
      <c r="BE313" s="110"/>
      <c r="BF313" s="110"/>
      <c r="BG313" s="110"/>
      <c r="BH313" s="110"/>
      <c r="BI313" s="110"/>
      <c r="BJ313" s="110"/>
      <c r="BK313" s="110"/>
      <c r="BL313" s="110"/>
    </row>
    <row r="314" spans="1:64">
      <c r="A314" s="529">
        <f t="shared" si="49"/>
        <v>6</v>
      </c>
      <c r="B314" s="529" t="s">
        <v>830</v>
      </c>
      <c r="C314" s="529" t="s">
        <v>30</v>
      </c>
      <c r="D314" s="529" t="str">
        <f>VLOOKUP(A314,Tabela8[[No.]:[Institution**]],9,FALSE)</f>
        <v>FCiências.ID</v>
      </c>
      <c r="E314" s="531" t="s">
        <v>41</v>
      </c>
      <c r="F314" s="529">
        <f>HLOOKUP(C314,'5.Equipments'!$AJ$2:$BC$22,(A314+1),FALSE)</f>
        <v>0</v>
      </c>
      <c r="G314" s="526">
        <f t="shared" si="44"/>
        <v>0</v>
      </c>
      <c r="H314" s="525">
        <f>IFERROR(VLOOKUP($B314,'3.Tasks'!$BK$4:$BO$23,2,FALSE),0)</f>
        <v>0</v>
      </c>
      <c r="I314" s="529">
        <f t="shared" si="47"/>
        <v>0</v>
      </c>
      <c r="J314" s="529">
        <f>IFERROR(VLOOKUP($B314,'3.Tasks'!$BK$4:$BO$23,3,FALSE),0)</f>
        <v>0</v>
      </c>
      <c r="K314" s="532">
        <v>0</v>
      </c>
      <c r="L314" s="529">
        <f>IFERROR(VLOOKUP($B314,'3.Tasks'!$BK$4:$BO$23,4,FALSE),0)</f>
        <v>0</v>
      </c>
      <c r="M314" s="532">
        <v>0</v>
      </c>
      <c r="N314" s="529">
        <f>IFERROR(VLOOKUP($B314,'3.Tasks'!$BK$4:$BO$23,5,FALSE),0)</f>
        <v>0</v>
      </c>
      <c r="O314" s="532">
        <v>0</v>
      </c>
      <c r="P314" s="530">
        <f t="shared" si="45"/>
        <v>0</v>
      </c>
      <c r="AJ314" s="110"/>
      <c r="AK314" s="110"/>
      <c r="AL314" s="110"/>
      <c r="AM314" s="110"/>
      <c r="AN314" s="110"/>
      <c r="AO314" s="110"/>
      <c r="AP314" s="110"/>
      <c r="AQ314" s="110"/>
      <c r="AR314" s="110"/>
      <c r="AS314" s="110"/>
      <c r="AT314" s="110"/>
      <c r="AU314" s="110"/>
      <c r="AV314" s="110"/>
      <c r="AW314" s="110"/>
      <c r="AX314" s="110"/>
      <c r="AY314" s="110"/>
      <c r="AZ314" s="110"/>
      <c r="BA314" s="110"/>
      <c r="BB314" s="110"/>
      <c r="BC314" s="110"/>
      <c r="BD314" s="110"/>
      <c r="BE314" s="110"/>
      <c r="BF314" s="110"/>
      <c r="BG314" s="110"/>
      <c r="BH314" s="110"/>
      <c r="BI314" s="110"/>
      <c r="BJ314" s="110"/>
      <c r="BK314" s="110"/>
      <c r="BL314" s="110"/>
    </row>
    <row r="315" spans="1:64">
      <c r="A315" s="529">
        <f t="shared" si="49"/>
        <v>6</v>
      </c>
      <c r="B315" s="529" t="s">
        <v>831</v>
      </c>
      <c r="C315" s="529" t="s">
        <v>31</v>
      </c>
      <c r="D315" s="529" t="str">
        <f>VLOOKUP(A315,Tabela8[[No.]:[Institution**]],9,FALSE)</f>
        <v>FCiências.ID</v>
      </c>
      <c r="E315" s="531" t="s">
        <v>41</v>
      </c>
      <c r="F315" s="529">
        <f>HLOOKUP(C315,'5.Equipments'!$AJ$2:$BC$22,(A315+1),FALSE)</f>
        <v>0</v>
      </c>
      <c r="G315" s="526">
        <f t="shared" si="44"/>
        <v>0</v>
      </c>
      <c r="H315" s="525">
        <f>IFERROR(VLOOKUP($B315,'3.Tasks'!$BK$4:$BO$23,2,FALSE),0)</f>
        <v>0</v>
      </c>
      <c r="I315" s="529">
        <f t="shared" si="47"/>
        <v>0</v>
      </c>
      <c r="J315" s="529">
        <f>IFERROR(VLOOKUP($B315,'3.Tasks'!$BK$4:$BO$23,3,FALSE),0)</f>
        <v>0</v>
      </c>
      <c r="K315" s="532">
        <v>0</v>
      </c>
      <c r="L315" s="529">
        <f>IFERROR(VLOOKUP($B315,'3.Tasks'!$BK$4:$BO$23,4,FALSE),0)</f>
        <v>0</v>
      </c>
      <c r="M315" s="532">
        <v>0</v>
      </c>
      <c r="N315" s="529">
        <f>IFERROR(VLOOKUP($B315,'3.Tasks'!$BK$4:$BO$23,5,FALSE),0)</f>
        <v>0</v>
      </c>
      <c r="O315" s="532">
        <v>0</v>
      </c>
      <c r="P315" s="530">
        <f t="shared" si="45"/>
        <v>0</v>
      </c>
      <c r="AJ315" s="110"/>
      <c r="AK315" s="110"/>
      <c r="AL315" s="110"/>
      <c r="AM315" s="110"/>
      <c r="AN315" s="110"/>
      <c r="AO315" s="110"/>
      <c r="AP315" s="110"/>
      <c r="AQ315" s="110"/>
      <c r="AR315" s="110"/>
      <c r="AS315" s="110"/>
      <c r="AT315" s="110"/>
      <c r="AU315" s="110"/>
      <c r="AV315" s="110"/>
      <c r="AW315" s="110"/>
      <c r="AX315" s="110"/>
      <c r="AY315" s="110"/>
      <c r="AZ315" s="110"/>
      <c r="BA315" s="110"/>
      <c r="BB315" s="110"/>
      <c r="BC315" s="110"/>
      <c r="BD315" s="110"/>
      <c r="BE315" s="110"/>
      <c r="BF315" s="110"/>
      <c r="BG315" s="110"/>
      <c r="BH315" s="110"/>
      <c r="BI315" s="110"/>
      <c r="BJ315" s="110"/>
      <c r="BK315" s="110"/>
      <c r="BL315" s="110"/>
    </row>
    <row r="316" spans="1:64">
      <c r="A316" s="529">
        <f t="shared" si="49"/>
        <v>6</v>
      </c>
      <c r="B316" s="529" t="s">
        <v>832</v>
      </c>
      <c r="C316" s="529" t="s">
        <v>32</v>
      </c>
      <c r="D316" s="529" t="str">
        <f>VLOOKUP(A316,Tabela8[[No.]:[Institution**]],9,FALSE)</f>
        <v>FCiências.ID</v>
      </c>
      <c r="E316" s="531" t="s">
        <v>41</v>
      </c>
      <c r="F316" s="529">
        <f>HLOOKUP(C316,'5.Equipments'!$AJ$2:$BC$22,(A316+1),FALSE)</f>
        <v>0</v>
      </c>
      <c r="G316" s="526">
        <f t="shared" si="44"/>
        <v>0</v>
      </c>
      <c r="H316" s="525">
        <f>IFERROR(VLOOKUP($B316,'3.Tasks'!$BK$4:$BO$23,2,FALSE),0)</f>
        <v>0</v>
      </c>
      <c r="I316" s="529">
        <f t="shared" si="47"/>
        <v>0</v>
      </c>
      <c r="J316" s="529">
        <f>IFERROR(VLOOKUP($B316,'3.Tasks'!$BK$4:$BO$23,3,FALSE),0)</f>
        <v>0</v>
      </c>
      <c r="K316" s="532">
        <v>0</v>
      </c>
      <c r="L316" s="529">
        <f>IFERROR(VLOOKUP($B316,'3.Tasks'!$BK$4:$BO$23,4,FALSE),0)</f>
        <v>0</v>
      </c>
      <c r="M316" s="532">
        <v>0</v>
      </c>
      <c r="N316" s="529">
        <f>IFERROR(VLOOKUP($B316,'3.Tasks'!$BK$4:$BO$23,5,FALSE),0)</f>
        <v>0</v>
      </c>
      <c r="O316" s="532">
        <v>0</v>
      </c>
      <c r="P316" s="530">
        <f t="shared" si="45"/>
        <v>0</v>
      </c>
      <c r="AJ316" s="110"/>
      <c r="AK316" s="110"/>
      <c r="AL316" s="110"/>
      <c r="AM316" s="110"/>
      <c r="AN316" s="110"/>
      <c r="AO316" s="110"/>
      <c r="AP316" s="110"/>
      <c r="AQ316" s="110"/>
      <c r="AR316" s="110"/>
      <c r="AS316" s="110"/>
      <c r="AT316" s="110"/>
      <c r="AU316" s="110"/>
      <c r="AV316" s="110"/>
      <c r="AW316" s="110"/>
      <c r="AX316" s="110"/>
      <c r="AY316" s="110"/>
      <c r="AZ316" s="110"/>
      <c r="BA316" s="110"/>
      <c r="BB316" s="110"/>
      <c r="BC316" s="110"/>
      <c r="BD316" s="110"/>
      <c r="BE316" s="110"/>
      <c r="BF316" s="110"/>
      <c r="BG316" s="110"/>
      <c r="BH316" s="110"/>
      <c r="BI316" s="110"/>
      <c r="BJ316" s="110"/>
      <c r="BK316" s="110"/>
      <c r="BL316" s="110"/>
    </row>
    <row r="317" spans="1:64">
      <c r="A317" s="529">
        <f t="shared" si="49"/>
        <v>6</v>
      </c>
      <c r="B317" s="529" t="s">
        <v>833</v>
      </c>
      <c r="C317" s="529" t="s">
        <v>33</v>
      </c>
      <c r="D317" s="529" t="str">
        <f>VLOOKUP(A317,Tabela8[[No.]:[Institution**]],9,FALSE)</f>
        <v>FCiências.ID</v>
      </c>
      <c r="E317" s="531" t="s">
        <v>41</v>
      </c>
      <c r="F317" s="529">
        <f>HLOOKUP(C317,'5.Equipments'!$AJ$2:$BC$22,(A317+1),FALSE)</f>
        <v>0</v>
      </c>
      <c r="G317" s="526">
        <f t="shared" si="44"/>
        <v>0</v>
      </c>
      <c r="H317" s="525">
        <f>IFERROR(VLOOKUP($B317,'3.Tasks'!$BK$4:$BO$23,2,FALSE),0)</f>
        <v>0</v>
      </c>
      <c r="I317" s="529">
        <f t="shared" si="47"/>
        <v>0</v>
      </c>
      <c r="J317" s="529">
        <f>IFERROR(VLOOKUP($B317,'3.Tasks'!$BK$4:$BO$23,3,FALSE),0)</f>
        <v>0</v>
      </c>
      <c r="K317" s="532">
        <v>0</v>
      </c>
      <c r="L317" s="529">
        <f>IFERROR(VLOOKUP($B317,'3.Tasks'!$BK$4:$BO$23,4,FALSE),0)</f>
        <v>0</v>
      </c>
      <c r="M317" s="532">
        <v>0</v>
      </c>
      <c r="N317" s="529">
        <f>IFERROR(VLOOKUP($B317,'3.Tasks'!$BK$4:$BO$23,5,FALSE),0)</f>
        <v>0</v>
      </c>
      <c r="O317" s="532">
        <v>0</v>
      </c>
      <c r="P317" s="530">
        <f t="shared" si="45"/>
        <v>0</v>
      </c>
      <c r="AJ317" s="110"/>
      <c r="AK317" s="110"/>
      <c r="AL317" s="110"/>
      <c r="AM317" s="110"/>
      <c r="AN317" s="110"/>
      <c r="AO317" s="110"/>
      <c r="AP317" s="110"/>
      <c r="AQ317" s="110"/>
      <c r="AR317" s="110"/>
      <c r="AS317" s="110"/>
      <c r="AT317" s="110"/>
      <c r="AU317" s="110"/>
      <c r="AV317" s="110"/>
      <c r="AW317" s="110"/>
      <c r="AX317" s="110"/>
      <c r="AY317" s="110"/>
      <c r="AZ317" s="110"/>
      <c r="BA317" s="110"/>
      <c r="BB317" s="110"/>
      <c r="BC317" s="110"/>
      <c r="BD317" s="110"/>
      <c r="BE317" s="110"/>
      <c r="BF317" s="110"/>
      <c r="BG317" s="110"/>
      <c r="BH317" s="110"/>
      <c r="BI317" s="110"/>
      <c r="BJ317" s="110"/>
      <c r="BK317" s="110"/>
      <c r="BL317" s="110"/>
    </row>
    <row r="318" spans="1:64">
      <c r="A318" s="529">
        <f t="shared" si="49"/>
        <v>6</v>
      </c>
      <c r="B318" s="529" t="s">
        <v>834</v>
      </c>
      <c r="C318" s="529" t="s">
        <v>34</v>
      </c>
      <c r="D318" s="529" t="str">
        <f>VLOOKUP(A318,Tabela8[[No.]:[Institution**]],9,FALSE)</f>
        <v>FCiências.ID</v>
      </c>
      <c r="E318" s="531" t="s">
        <v>41</v>
      </c>
      <c r="F318" s="529">
        <f>HLOOKUP(C318,'5.Equipments'!$AJ$2:$BC$22,(A318+1),FALSE)</f>
        <v>0</v>
      </c>
      <c r="G318" s="526">
        <f t="shared" si="44"/>
        <v>0</v>
      </c>
      <c r="H318" s="525">
        <f>IFERROR(VLOOKUP($B318,'3.Tasks'!$BK$4:$BO$23,2,FALSE),0)</f>
        <v>0</v>
      </c>
      <c r="I318" s="529">
        <f t="shared" si="47"/>
        <v>0</v>
      </c>
      <c r="J318" s="529">
        <f>IFERROR(VLOOKUP($B318,'3.Tasks'!$BK$4:$BO$23,3,FALSE),0)</f>
        <v>0</v>
      </c>
      <c r="K318" s="532">
        <v>0</v>
      </c>
      <c r="L318" s="529">
        <f>IFERROR(VLOOKUP($B318,'3.Tasks'!$BK$4:$BO$23,4,FALSE),0)</f>
        <v>0</v>
      </c>
      <c r="M318" s="532">
        <v>0</v>
      </c>
      <c r="N318" s="529">
        <f>IFERROR(VLOOKUP($B318,'3.Tasks'!$BK$4:$BO$23,5,FALSE),0)</f>
        <v>0</v>
      </c>
      <c r="O318" s="532">
        <v>0</v>
      </c>
      <c r="P318" s="530">
        <f t="shared" si="45"/>
        <v>0</v>
      </c>
      <c r="AJ318" s="110"/>
      <c r="AK318" s="110"/>
      <c r="AL318" s="110"/>
      <c r="AM318" s="110"/>
      <c r="AN318" s="110"/>
      <c r="AO318" s="110"/>
      <c r="AP318" s="110"/>
      <c r="AQ318" s="110"/>
      <c r="AR318" s="110"/>
      <c r="AS318" s="110"/>
      <c r="AT318" s="110"/>
      <c r="AU318" s="110"/>
      <c r="AV318" s="110"/>
      <c r="AW318" s="110"/>
      <c r="AX318" s="110"/>
      <c r="AY318" s="110"/>
      <c r="AZ318" s="110"/>
      <c r="BA318" s="110"/>
      <c r="BB318" s="110"/>
      <c r="BC318" s="110"/>
      <c r="BD318" s="110"/>
      <c r="BE318" s="110"/>
      <c r="BF318" s="110"/>
      <c r="BG318" s="110"/>
      <c r="BH318" s="110"/>
      <c r="BI318" s="110"/>
      <c r="BJ318" s="110"/>
      <c r="BK318" s="110"/>
      <c r="BL318" s="110"/>
    </row>
    <row r="319" spans="1:64">
      <c r="A319" s="529">
        <f t="shared" si="49"/>
        <v>6</v>
      </c>
      <c r="B319" s="529" t="s">
        <v>835</v>
      </c>
      <c r="C319" s="529" t="s">
        <v>35</v>
      </c>
      <c r="D319" s="529" t="str">
        <f>VLOOKUP(A319,Tabela8[[No.]:[Institution**]],9,FALSE)</f>
        <v>FCiências.ID</v>
      </c>
      <c r="E319" s="531" t="s">
        <v>41</v>
      </c>
      <c r="F319" s="529">
        <f>HLOOKUP(C319,'5.Equipments'!$AJ$2:$BC$22,(A319+1),FALSE)</f>
        <v>0</v>
      </c>
      <c r="G319" s="526">
        <f t="shared" si="44"/>
        <v>0</v>
      </c>
      <c r="H319" s="525">
        <f>IFERROR(VLOOKUP($B319,'3.Tasks'!$BK$4:$BO$23,2,FALSE),0)</f>
        <v>0</v>
      </c>
      <c r="I319" s="529">
        <f t="shared" si="47"/>
        <v>0</v>
      </c>
      <c r="J319" s="529">
        <f>IFERROR(VLOOKUP($B319,'3.Tasks'!$BK$4:$BO$23,3,FALSE),0)</f>
        <v>0</v>
      </c>
      <c r="K319" s="532">
        <v>0</v>
      </c>
      <c r="L319" s="529">
        <f>IFERROR(VLOOKUP($B319,'3.Tasks'!$BK$4:$BO$23,4,FALSE),0)</f>
        <v>0</v>
      </c>
      <c r="M319" s="532">
        <v>0</v>
      </c>
      <c r="N319" s="529">
        <f>IFERROR(VLOOKUP($B319,'3.Tasks'!$BK$4:$BO$23,5,FALSE),0)</f>
        <v>0</v>
      </c>
      <c r="O319" s="532">
        <v>0</v>
      </c>
      <c r="P319" s="530">
        <f t="shared" si="45"/>
        <v>0</v>
      </c>
      <c r="AJ319" s="110"/>
      <c r="AK319" s="110"/>
      <c r="AL319" s="110"/>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row>
    <row r="320" spans="1:64">
      <c r="A320" s="529">
        <f t="shared" si="49"/>
        <v>6</v>
      </c>
      <c r="B320" s="529" t="s">
        <v>836</v>
      </c>
      <c r="C320" s="529" t="s">
        <v>36</v>
      </c>
      <c r="D320" s="529" t="str">
        <f>VLOOKUP(A320,Tabela8[[No.]:[Institution**]],9,FALSE)</f>
        <v>FCiências.ID</v>
      </c>
      <c r="E320" s="531" t="s">
        <v>41</v>
      </c>
      <c r="F320" s="529">
        <f>HLOOKUP(C320,'5.Equipments'!$AJ$2:$BC$22,(A320+1),FALSE)</f>
        <v>0</v>
      </c>
      <c r="G320" s="526">
        <f t="shared" si="44"/>
        <v>0</v>
      </c>
      <c r="H320" s="525">
        <f>IFERROR(VLOOKUP($B320,'3.Tasks'!$BK$4:$BO$23,2,FALSE),0)</f>
        <v>0</v>
      </c>
      <c r="I320" s="529">
        <f t="shared" si="47"/>
        <v>0</v>
      </c>
      <c r="J320" s="529">
        <f>IFERROR(VLOOKUP($B320,'3.Tasks'!$BK$4:$BO$23,3,FALSE),0)</f>
        <v>0</v>
      </c>
      <c r="K320" s="532">
        <v>0</v>
      </c>
      <c r="L320" s="529">
        <f>IFERROR(VLOOKUP($B320,'3.Tasks'!$BK$4:$BO$23,4,FALSE),0)</f>
        <v>0</v>
      </c>
      <c r="M320" s="532">
        <v>0</v>
      </c>
      <c r="N320" s="529">
        <f>IFERROR(VLOOKUP($B320,'3.Tasks'!$BK$4:$BO$23,5,FALSE),0)</f>
        <v>0</v>
      </c>
      <c r="O320" s="532">
        <v>0</v>
      </c>
      <c r="P320" s="530">
        <f t="shared" si="45"/>
        <v>0</v>
      </c>
      <c r="AJ320" s="110"/>
      <c r="AK320" s="110"/>
      <c r="AL320" s="110"/>
      <c r="AM320" s="110"/>
      <c r="AN320" s="110"/>
      <c r="AO320" s="110"/>
      <c r="AP320" s="110"/>
      <c r="AQ320" s="110"/>
      <c r="AR320" s="110"/>
      <c r="AS320" s="110"/>
      <c r="AT320" s="110"/>
      <c r="AU320" s="110"/>
      <c r="AV320" s="110"/>
      <c r="AW320" s="110"/>
      <c r="AX320" s="110"/>
      <c r="AY320" s="110"/>
      <c r="AZ320" s="110"/>
      <c r="BA320" s="110"/>
      <c r="BB320" s="110"/>
      <c r="BC320" s="110"/>
      <c r="BD320" s="110"/>
      <c r="BE320" s="110"/>
      <c r="BF320" s="110"/>
      <c r="BG320" s="110"/>
      <c r="BH320" s="110"/>
      <c r="BI320" s="110"/>
      <c r="BJ320" s="110"/>
      <c r="BK320" s="110"/>
      <c r="BL320" s="110"/>
    </row>
    <row r="321" spans="1:64">
      <c r="A321" s="529">
        <f t="shared" si="49"/>
        <v>6</v>
      </c>
      <c r="B321" s="529" t="s">
        <v>837</v>
      </c>
      <c r="C321" s="529" t="s">
        <v>37</v>
      </c>
      <c r="D321" s="529" t="str">
        <f>VLOOKUP(A321,Tabela8[[No.]:[Institution**]],9,FALSE)</f>
        <v>FCiências.ID</v>
      </c>
      <c r="E321" s="531" t="s">
        <v>41</v>
      </c>
      <c r="F321" s="529">
        <f>HLOOKUP(C321,'5.Equipments'!$AJ$2:$BC$22,(A321+1),FALSE)</f>
        <v>0</v>
      </c>
      <c r="G321" s="526">
        <f t="shared" si="44"/>
        <v>0</v>
      </c>
      <c r="H321" s="525">
        <f>IFERROR(VLOOKUP($B321,'3.Tasks'!$BK$4:$BO$23,2,FALSE),0)</f>
        <v>0</v>
      </c>
      <c r="I321" s="529">
        <f t="shared" si="47"/>
        <v>0</v>
      </c>
      <c r="J321" s="529">
        <f>IFERROR(VLOOKUP($B321,'3.Tasks'!$BK$4:$BO$23,3,FALSE),0)</f>
        <v>0</v>
      </c>
      <c r="K321" s="532">
        <v>0</v>
      </c>
      <c r="L321" s="529">
        <f>IFERROR(VLOOKUP($B321,'3.Tasks'!$BK$4:$BO$23,4,FALSE),0)</f>
        <v>0</v>
      </c>
      <c r="M321" s="532">
        <v>0</v>
      </c>
      <c r="N321" s="529">
        <f>IFERROR(VLOOKUP($B321,'3.Tasks'!$BK$4:$BO$23,5,FALSE),0)</f>
        <v>0</v>
      </c>
      <c r="O321" s="532">
        <v>0</v>
      </c>
      <c r="P321" s="530">
        <f t="shared" si="45"/>
        <v>0</v>
      </c>
      <c r="AJ321" s="110"/>
      <c r="AK321" s="110"/>
      <c r="AL321" s="110"/>
      <c r="AM321" s="110"/>
      <c r="AN321" s="110"/>
      <c r="AO321" s="110"/>
      <c r="AP321" s="110"/>
      <c r="AQ321" s="110"/>
      <c r="AR321" s="110"/>
      <c r="AS321" s="110"/>
      <c r="AT321" s="110"/>
      <c r="AU321" s="110"/>
      <c r="AV321" s="110"/>
      <c r="AW321" s="110"/>
      <c r="AX321" s="110"/>
      <c r="AY321" s="110"/>
      <c r="AZ321" s="110"/>
      <c r="BA321" s="110"/>
      <c r="BB321" s="110"/>
      <c r="BC321" s="110"/>
      <c r="BD321" s="110"/>
      <c r="BE321" s="110"/>
      <c r="BF321" s="110"/>
      <c r="BG321" s="110"/>
      <c r="BH321" s="110"/>
      <c r="BI321" s="110"/>
      <c r="BJ321" s="110"/>
      <c r="BK321" s="110"/>
      <c r="BL321" s="110"/>
    </row>
    <row r="322" spans="1:64">
      <c r="A322" s="529">
        <v>7</v>
      </c>
      <c r="B322" s="529" t="s">
        <v>818</v>
      </c>
      <c r="C322" s="529" t="s">
        <v>18</v>
      </c>
      <c r="D322" s="529" t="str">
        <f>VLOOKUP(A322,Tabela8[[No.]:[Institution**]],9,FALSE)</f>
        <v>FCiências.ID</v>
      </c>
      <c r="E322" s="531" t="s">
        <v>41</v>
      </c>
      <c r="F322" s="529">
        <f>HLOOKUP(C322,'5.Equipments'!$AJ$2:$BC$22,(A322+1),FALSE)</f>
        <v>0</v>
      </c>
      <c r="G322" s="526">
        <f t="shared" si="44"/>
        <v>0</v>
      </c>
      <c r="H322" s="525">
        <f>IFERROR(VLOOKUP($B322,'3.Tasks'!$BK$4:$BO$23,2,FALSE),0)</f>
        <v>0</v>
      </c>
      <c r="I322" s="529">
        <f t="shared" si="47"/>
        <v>0</v>
      </c>
      <c r="J322" s="529">
        <f>IFERROR(VLOOKUP($B322,'3.Tasks'!$BK$4:$BO$23,3,FALSE),0)</f>
        <v>0</v>
      </c>
      <c r="K322" s="532">
        <v>0</v>
      </c>
      <c r="L322" s="529">
        <f>IFERROR(VLOOKUP($B322,'3.Tasks'!$BK$4:$BO$23,4,FALSE),0)</f>
        <v>0</v>
      </c>
      <c r="M322" s="532">
        <v>0</v>
      </c>
      <c r="N322" s="529">
        <f>IFERROR(VLOOKUP($B322,'3.Tasks'!$BK$4:$BO$23,5,FALSE),0)</f>
        <v>0</v>
      </c>
      <c r="O322" s="532">
        <v>0</v>
      </c>
      <c r="P322" s="530">
        <f t="shared" si="45"/>
        <v>0</v>
      </c>
      <c r="AJ322" s="110"/>
      <c r="AK322" s="110"/>
      <c r="AL322" s="110"/>
      <c r="AM322" s="110"/>
      <c r="AN322" s="110"/>
      <c r="AO322" s="110"/>
      <c r="AP322" s="110"/>
      <c r="AQ322" s="110"/>
      <c r="AR322" s="110"/>
      <c r="AS322" s="110"/>
      <c r="AT322" s="110"/>
      <c r="AU322" s="110"/>
      <c r="AV322" s="110"/>
      <c r="AW322" s="110"/>
      <c r="AX322" s="110"/>
      <c r="AY322" s="110"/>
      <c r="AZ322" s="110"/>
      <c r="BA322" s="110"/>
      <c r="BB322" s="110"/>
      <c r="BC322" s="110"/>
      <c r="BD322" s="110"/>
      <c r="BE322" s="110"/>
      <c r="BF322" s="110"/>
      <c r="BG322" s="110"/>
      <c r="BH322" s="110"/>
      <c r="BI322" s="110"/>
      <c r="BJ322" s="110"/>
      <c r="BK322" s="110"/>
      <c r="BL322" s="110"/>
    </row>
    <row r="323" spans="1:64">
      <c r="A323" s="529">
        <f>+A322</f>
        <v>7</v>
      </c>
      <c r="B323" s="529" t="s">
        <v>819</v>
      </c>
      <c r="C323" s="529" t="s">
        <v>19</v>
      </c>
      <c r="D323" s="529" t="str">
        <f>VLOOKUP(A323,Tabela8[[No.]:[Institution**]],9,FALSE)</f>
        <v>FCiências.ID</v>
      </c>
      <c r="E323" s="531" t="s">
        <v>41</v>
      </c>
      <c r="F323" s="529">
        <f>HLOOKUP(C323,'5.Equipments'!$AJ$2:$BC$22,(A323+1),FALSE)</f>
        <v>0</v>
      </c>
      <c r="G323" s="526">
        <f t="shared" ref="G323:G386" si="50">IFERROR((H323+J323+L323+N323),0)</f>
        <v>0</v>
      </c>
      <c r="H323" s="525">
        <f>IFERROR(VLOOKUP($B323,'3.Tasks'!$BK$4:$BO$23,2,FALSE),0)</f>
        <v>0</v>
      </c>
      <c r="I323" s="529">
        <f t="shared" si="47"/>
        <v>0</v>
      </c>
      <c r="J323" s="529">
        <f>IFERROR(VLOOKUP($B323,'3.Tasks'!$BK$4:$BO$23,3,FALSE),0)</f>
        <v>0</v>
      </c>
      <c r="K323" s="532">
        <v>0</v>
      </c>
      <c r="L323" s="529">
        <f>IFERROR(VLOOKUP($B323,'3.Tasks'!$BK$4:$BO$23,4,FALSE),0)</f>
        <v>0</v>
      </c>
      <c r="M323" s="532">
        <v>0</v>
      </c>
      <c r="N323" s="529">
        <f>IFERROR(VLOOKUP($B323,'3.Tasks'!$BK$4:$BO$23,5,FALSE),0)</f>
        <v>0</v>
      </c>
      <c r="O323" s="532">
        <v>0</v>
      </c>
      <c r="P323" s="530">
        <f t="shared" ref="P323:P386" si="51">+F323-I323-K323-M323-O323</f>
        <v>0</v>
      </c>
      <c r="AJ323" s="110"/>
      <c r="AK323" s="110"/>
      <c r="AL323" s="110"/>
      <c r="AM323" s="110"/>
      <c r="AN323" s="110"/>
      <c r="AO323" s="110"/>
      <c r="AP323" s="110"/>
      <c r="AQ323" s="110"/>
      <c r="AR323" s="110"/>
      <c r="AS323" s="110"/>
      <c r="AT323" s="110"/>
      <c r="AU323" s="110"/>
      <c r="AV323" s="110"/>
      <c r="AW323" s="110"/>
      <c r="AX323" s="110"/>
      <c r="AY323" s="110"/>
      <c r="AZ323" s="110"/>
      <c r="BA323" s="110"/>
      <c r="BB323" s="110"/>
      <c r="BC323" s="110"/>
      <c r="BD323" s="110"/>
      <c r="BE323" s="110"/>
      <c r="BF323" s="110"/>
      <c r="BG323" s="110"/>
      <c r="BH323" s="110"/>
      <c r="BI323" s="110"/>
      <c r="BJ323" s="110"/>
      <c r="BK323" s="110"/>
      <c r="BL323" s="110"/>
    </row>
    <row r="324" spans="1:64">
      <c r="A324" s="529">
        <f t="shared" ref="A324:A341" si="52">+A323</f>
        <v>7</v>
      </c>
      <c r="B324" s="529" t="s">
        <v>820</v>
      </c>
      <c r="C324" s="529" t="s">
        <v>20</v>
      </c>
      <c r="D324" s="529" t="str">
        <f>VLOOKUP(A324,Tabela8[[No.]:[Institution**]],9,FALSE)</f>
        <v>FCiências.ID</v>
      </c>
      <c r="E324" s="531" t="s">
        <v>41</v>
      </c>
      <c r="F324" s="529">
        <f>HLOOKUP(C324,'5.Equipments'!$AJ$2:$BC$22,(A324+1),FALSE)</f>
        <v>0</v>
      </c>
      <c r="G324" s="526">
        <f t="shared" si="50"/>
        <v>0</v>
      </c>
      <c r="H324" s="525">
        <f>IFERROR(VLOOKUP($B324,'3.Tasks'!$BK$4:$BO$23,2,FALSE),0)</f>
        <v>0</v>
      </c>
      <c r="I324" s="529">
        <f t="shared" si="47"/>
        <v>0</v>
      </c>
      <c r="J324" s="529">
        <f>IFERROR(VLOOKUP($B324,'3.Tasks'!$BK$4:$BO$23,3,FALSE),0)</f>
        <v>0</v>
      </c>
      <c r="K324" s="532">
        <v>0</v>
      </c>
      <c r="L324" s="529">
        <f>IFERROR(VLOOKUP($B324,'3.Tasks'!$BK$4:$BO$23,4,FALSE),0)</f>
        <v>0</v>
      </c>
      <c r="M324" s="532">
        <v>0</v>
      </c>
      <c r="N324" s="529">
        <f>IFERROR(VLOOKUP($B324,'3.Tasks'!$BK$4:$BO$23,5,FALSE),0)</f>
        <v>0</v>
      </c>
      <c r="O324" s="532">
        <v>0</v>
      </c>
      <c r="P324" s="530">
        <f t="shared" si="51"/>
        <v>0</v>
      </c>
      <c r="AJ324" s="110"/>
      <c r="AK324" s="110"/>
      <c r="AL324" s="110"/>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H324" s="110"/>
      <c r="BI324" s="110"/>
      <c r="BJ324" s="110"/>
      <c r="BK324" s="110"/>
      <c r="BL324" s="110"/>
    </row>
    <row r="325" spans="1:64">
      <c r="A325" s="529">
        <f t="shared" si="52"/>
        <v>7</v>
      </c>
      <c r="B325" s="529" t="s">
        <v>821</v>
      </c>
      <c r="C325" s="529" t="s">
        <v>21</v>
      </c>
      <c r="D325" s="529" t="str">
        <f>VLOOKUP(A325,Tabela8[[No.]:[Institution**]],9,FALSE)</f>
        <v>FCiências.ID</v>
      </c>
      <c r="E325" s="531" t="s">
        <v>41</v>
      </c>
      <c r="F325" s="529">
        <f>HLOOKUP(C325,'5.Equipments'!$AJ$2:$BC$22,(A325+1),FALSE)</f>
        <v>0</v>
      </c>
      <c r="G325" s="526">
        <f t="shared" si="50"/>
        <v>0</v>
      </c>
      <c r="H325" s="525">
        <f>IFERROR(VLOOKUP($B325,'3.Tasks'!$BK$4:$BO$23,2,FALSE),0)</f>
        <v>0</v>
      </c>
      <c r="I325" s="529">
        <f t="shared" si="47"/>
        <v>0</v>
      </c>
      <c r="J325" s="529">
        <f>IFERROR(VLOOKUP($B325,'3.Tasks'!$BK$4:$BO$23,3,FALSE),0)</f>
        <v>0</v>
      </c>
      <c r="K325" s="532">
        <v>0</v>
      </c>
      <c r="L325" s="529">
        <f>IFERROR(VLOOKUP($B325,'3.Tasks'!$BK$4:$BO$23,4,FALSE),0)</f>
        <v>0</v>
      </c>
      <c r="M325" s="532">
        <v>0</v>
      </c>
      <c r="N325" s="529">
        <f>IFERROR(VLOOKUP($B325,'3.Tasks'!$BK$4:$BO$23,5,FALSE),0)</f>
        <v>0</v>
      </c>
      <c r="O325" s="532">
        <v>0</v>
      </c>
      <c r="P325" s="530">
        <f t="shared" si="51"/>
        <v>0</v>
      </c>
      <c r="AJ325" s="110"/>
      <c r="AK325" s="110"/>
      <c r="AL325" s="110"/>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row>
    <row r="326" spans="1:64">
      <c r="A326" s="529">
        <f t="shared" si="52"/>
        <v>7</v>
      </c>
      <c r="B326" s="529" t="s">
        <v>822</v>
      </c>
      <c r="C326" s="529" t="s">
        <v>22</v>
      </c>
      <c r="D326" s="529" t="str">
        <f>VLOOKUP(A326,Tabela8[[No.]:[Institution**]],9,FALSE)</f>
        <v>FCiências.ID</v>
      </c>
      <c r="E326" s="531" t="s">
        <v>41</v>
      </c>
      <c r="F326" s="529">
        <f>HLOOKUP(C326,'5.Equipments'!$AJ$2:$BC$22,(A326+1),FALSE)</f>
        <v>0</v>
      </c>
      <c r="G326" s="526">
        <f t="shared" si="50"/>
        <v>0</v>
      </c>
      <c r="H326" s="525">
        <f>IFERROR(VLOOKUP($B326,'3.Tasks'!$BK$4:$BO$23,2,FALSE),0)</f>
        <v>0</v>
      </c>
      <c r="I326" s="529">
        <f t="shared" si="47"/>
        <v>0</v>
      </c>
      <c r="J326" s="529">
        <f>IFERROR(VLOOKUP($B326,'3.Tasks'!$BK$4:$BO$23,3,FALSE),0)</f>
        <v>0</v>
      </c>
      <c r="K326" s="532">
        <v>0</v>
      </c>
      <c r="L326" s="529">
        <f>IFERROR(VLOOKUP($B326,'3.Tasks'!$BK$4:$BO$23,4,FALSE),0)</f>
        <v>0</v>
      </c>
      <c r="M326" s="532">
        <v>0</v>
      </c>
      <c r="N326" s="529">
        <f>IFERROR(VLOOKUP($B326,'3.Tasks'!$BK$4:$BO$23,5,FALSE),0)</f>
        <v>0</v>
      </c>
      <c r="O326" s="532">
        <v>0</v>
      </c>
      <c r="P326" s="530">
        <f t="shared" si="51"/>
        <v>0</v>
      </c>
      <c r="AJ326" s="110"/>
      <c r="AK326" s="110"/>
      <c r="AL326" s="110"/>
      <c r="AM326" s="110"/>
      <c r="AN326" s="110"/>
      <c r="AO326" s="110"/>
      <c r="AP326" s="110"/>
      <c r="AQ326" s="110"/>
      <c r="AR326" s="110"/>
      <c r="AS326" s="110"/>
      <c r="AT326" s="110"/>
      <c r="AU326" s="110"/>
      <c r="AV326" s="110"/>
      <c r="AW326" s="110"/>
      <c r="AX326" s="110"/>
      <c r="AY326" s="110"/>
      <c r="AZ326" s="110"/>
      <c r="BA326" s="110"/>
      <c r="BB326" s="110"/>
      <c r="BC326" s="110"/>
      <c r="BD326" s="110"/>
      <c r="BE326" s="110"/>
      <c r="BF326" s="110"/>
      <c r="BG326" s="110"/>
      <c r="BH326" s="110"/>
      <c r="BI326" s="110"/>
      <c r="BJ326" s="110"/>
      <c r="BK326" s="110"/>
      <c r="BL326" s="110"/>
    </row>
    <row r="327" spans="1:64">
      <c r="A327" s="529">
        <f t="shared" si="52"/>
        <v>7</v>
      </c>
      <c r="B327" s="529" t="s">
        <v>823</v>
      </c>
      <c r="C327" s="529" t="s">
        <v>23</v>
      </c>
      <c r="D327" s="529" t="str">
        <f>VLOOKUP(A327,Tabela8[[No.]:[Institution**]],9,FALSE)</f>
        <v>FCiências.ID</v>
      </c>
      <c r="E327" s="531" t="s">
        <v>41</v>
      </c>
      <c r="F327" s="529">
        <f>HLOOKUP(C327,'5.Equipments'!$AJ$2:$BC$22,(A327+1),FALSE)</f>
        <v>0</v>
      </c>
      <c r="G327" s="526">
        <f t="shared" si="50"/>
        <v>0</v>
      </c>
      <c r="H327" s="525">
        <f>IFERROR(VLOOKUP($B327,'3.Tasks'!$BK$4:$BO$23,2,FALSE),0)</f>
        <v>0</v>
      </c>
      <c r="I327" s="529">
        <f t="shared" si="47"/>
        <v>0</v>
      </c>
      <c r="J327" s="529">
        <f>IFERROR(VLOOKUP($B327,'3.Tasks'!$BK$4:$BO$23,3,FALSE),0)</f>
        <v>0</v>
      </c>
      <c r="K327" s="532">
        <v>0</v>
      </c>
      <c r="L327" s="529">
        <f>IFERROR(VLOOKUP($B327,'3.Tasks'!$BK$4:$BO$23,4,FALSE),0)</f>
        <v>0</v>
      </c>
      <c r="M327" s="532">
        <v>0</v>
      </c>
      <c r="N327" s="529">
        <f>IFERROR(VLOOKUP($B327,'3.Tasks'!$BK$4:$BO$23,5,FALSE),0)</f>
        <v>0</v>
      </c>
      <c r="O327" s="532">
        <v>0</v>
      </c>
      <c r="P327" s="530">
        <f t="shared" si="51"/>
        <v>0</v>
      </c>
      <c r="AJ327" s="110"/>
      <c r="AK327" s="110"/>
      <c r="AL327" s="110"/>
      <c r="AM327" s="110"/>
      <c r="AN327" s="110"/>
      <c r="AO327" s="110"/>
      <c r="AP327" s="110"/>
      <c r="AQ327" s="110"/>
      <c r="AR327" s="110"/>
      <c r="AS327" s="110"/>
      <c r="AT327" s="110"/>
      <c r="AU327" s="110"/>
      <c r="AV327" s="110"/>
      <c r="AW327" s="110"/>
      <c r="AX327" s="110"/>
      <c r="AY327" s="110"/>
      <c r="AZ327" s="110"/>
      <c r="BA327" s="110"/>
      <c r="BB327" s="110"/>
      <c r="BC327" s="110"/>
      <c r="BD327" s="110"/>
      <c r="BE327" s="110"/>
      <c r="BF327" s="110"/>
      <c r="BG327" s="110"/>
      <c r="BH327" s="110"/>
      <c r="BI327" s="110"/>
      <c r="BJ327" s="110"/>
      <c r="BK327" s="110"/>
      <c r="BL327" s="110"/>
    </row>
    <row r="328" spans="1:64">
      <c r="A328" s="529">
        <f t="shared" si="52"/>
        <v>7</v>
      </c>
      <c r="B328" s="529" t="s">
        <v>824</v>
      </c>
      <c r="C328" s="529" t="s">
        <v>24</v>
      </c>
      <c r="D328" s="529" t="str">
        <f>VLOOKUP(A328,Tabela8[[No.]:[Institution**]],9,FALSE)</f>
        <v>FCiências.ID</v>
      </c>
      <c r="E328" s="531" t="s">
        <v>41</v>
      </c>
      <c r="F328" s="529">
        <f>HLOOKUP(C328,'5.Equipments'!$AJ$2:$BC$22,(A328+1),FALSE)</f>
        <v>0</v>
      </c>
      <c r="G328" s="526">
        <f t="shared" si="50"/>
        <v>0</v>
      </c>
      <c r="H328" s="525">
        <f>IFERROR(VLOOKUP($B328,'3.Tasks'!$BK$4:$BO$23,2,FALSE),0)</f>
        <v>0</v>
      </c>
      <c r="I328" s="529">
        <f t="shared" si="47"/>
        <v>0</v>
      </c>
      <c r="J328" s="529">
        <f>IFERROR(VLOOKUP($B328,'3.Tasks'!$BK$4:$BO$23,3,FALSE),0)</f>
        <v>0</v>
      </c>
      <c r="K328" s="532">
        <v>0</v>
      </c>
      <c r="L328" s="529">
        <f>IFERROR(VLOOKUP($B328,'3.Tasks'!$BK$4:$BO$23,4,FALSE),0)</f>
        <v>0</v>
      </c>
      <c r="M328" s="532">
        <v>0</v>
      </c>
      <c r="N328" s="529">
        <f>IFERROR(VLOOKUP($B328,'3.Tasks'!$BK$4:$BO$23,5,FALSE),0)</f>
        <v>0</v>
      </c>
      <c r="O328" s="532">
        <v>0</v>
      </c>
      <c r="P328" s="530">
        <f t="shared" si="51"/>
        <v>0</v>
      </c>
      <c r="AJ328" s="110"/>
      <c r="AK328" s="110"/>
      <c r="AL328" s="110"/>
      <c r="AM328" s="110"/>
      <c r="AN328" s="110"/>
      <c r="AO328" s="110"/>
      <c r="AP328" s="110"/>
      <c r="AQ328" s="110"/>
      <c r="AR328" s="110"/>
      <c r="AS328" s="110"/>
      <c r="AT328" s="110"/>
      <c r="AU328" s="110"/>
      <c r="AV328" s="110"/>
      <c r="AW328" s="110"/>
      <c r="AX328" s="110"/>
      <c r="AY328" s="110"/>
      <c r="AZ328" s="110"/>
      <c r="BA328" s="110"/>
      <c r="BB328" s="110"/>
      <c r="BC328" s="110"/>
      <c r="BD328" s="110"/>
      <c r="BE328" s="110"/>
      <c r="BF328" s="110"/>
      <c r="BG328" s="110"/>
      <c r="BH328" s="110"/>
      <c r="BI328" s="110"/>
      <c r="BJ328" s="110"/>
      <c r="BK328" s="110"/>
      <c r="BL328" s="110"/>
    </row>
    <row r="329" spans="1:64">
      <c r="A329" s="529">
        <f t="shared" si="52"/>
        <v>7</v>
      </c>
      <c r="B329" s="529" t="s">
        <v>825</v>
      </c>
      <c r="C329" s="529" t="s">
        <v>25</v>
      </c>
      <c r="D329" s="529" t="str">
        <f>VLOOKUP(A329,Tabela8[[No.]:[Institution**]],9,FALSE)</f>
        <v>FCiências.ID</v>
      </c>
      <c r="E329" s="531" t="s">
        <v>41</v>
      </c>
      <c r="F329" s="529">
        <f>HLOOKUP(C329,'5.Equipments'!$AJ$2:$BC$22,(A329+1),FALSE)</f>
        <v>0</v>
      </c>
      <c r="G329" s="526">
        <f t="shared" si="50"/>
        <v>0</v>
      </c>
      <c r="H329" s="525">
        <f>IFERROR(VLOOKUP($B329,'3.Tasks'!$BK$4:$BO$23,2,FALSE),0)</f>
        <v>0</v>
      </c>
      <c r="I329" s="529">
        <f t="shared" si="47"/>
        <v>0</v>
      </c>
      <c r="J329" s="529">
        <f>IFERROR(VLOOKUP($B329,'3.Tasks'!$BK$4:$BO$23,3,FALSE),0)</f>
        <v>0</v>
      </c>
      <c r="K329" s="532">
        <v>0</v>
      </c>
      <c r="L329" s="529">
        <f>IFERROR(VLOOKUP($B329,'3.Tasks'!$BK$4:$BO$23,4,FALSE),0)</f>
        <v>0</v>
      </c>
      <c r="M329" s="532">
        <v>0</v>
      </c>
      <c r="N329" s="529">
        <f>IFERROR(VLOOKUP($B329,'3.Tasks'!$BK$4:$BO$23,5,FALSE),0)</f>
        <v>0</v>
      </c>
      <c r="O329" s="532">
        <v>0</v>
      </c>
      <c r="P329" s="530">
        <f t="shared" si="51"/>
        <v>0</v>
      </c>
      <c r="AJ329" s="110"/>
      <c r="AK329" s="110"/>
      <c r="AL329" s="110"/>
      <c r="AM329" s="110"/>
      <c r="AN329" s="110"/>
      <c r="AO329" s="110"/>
      <c r="AP329" s="110"/>
      <c r="AQ329" s="110"/>
      <c r="AR329" s="110"/>
      <c r="AS329" s="110"/>
      <c r="AT329" s="110"/>
      <c r="AU329" s="110"/>
      <c r="AV329" s="110"/>
      <c r="AW329" s="110"/>
      <c r="AX329" s="110"/>
      <c r="AY329" s="110"/>
      <c r="AZ329" s="110"/>
      <c r="BA329" s="110"/>
      <c r="BB329" s="110"/>
      <c r="BC329" s="110"/>
      <c r="BD329" s="110"/>
      <c r="BE329" s="110"/>
      <c r="BF329" s="110"/>
      <c r="BG329" s="110"/>
      <c r="BH329" s="110"/>
      <c r="BI329" s="110"/>
      <c r="BJ329" s="110"/>
      <c r="BK329" s="110"/>
      <c r="BL329" s="110"/>
    </row>
    <row r="330" spans="1:64">
      <c r="A330" s="529">
        <f t="shared" si="52"/>
        <v>7</v>
      </c>
      <c r="B330" s="529" t="s">
        <v>826</v>
      </c>
      <c r="C330" s="529" t="s">
        <v>26</v>
      </c>
      <c r="D330" s="529" t="str">
        <f>VLOOKUP(A330,Tabela8[[No.]:[Institution**]],9,FALSE)</f>
        <v>FCiências.ID</v>
      </c>
      <c r="E330" s="531" t="s">
        <v>41</v>
      </c>
      <c r="F330" s="529">
        <f>HLOOKUP(C330,'5.Equipments'!$AJ$2:$BC$22,(A330+1),FALSE)</f>
        <v>0</v>
      </c>
      <c r="G330" s="526">
        <f t="shared" si="50"/>
        <v>0</v>
      </c>
      <c r="H330" s="525">
        <f>IFERROR(VLOOKUP($B330,'3.Tasks'!$BK$4:$BO$23,2,FALSE),0)</f>
        <v>0</v>
      </c>
      <c r="I330" s="529">
        <f t="shared" si="47"/>
        <v>0</v>
      </c>
      <c r="J330" s="529">
        <f>IFERROR(VLOOKUP($B330,'3.Tasks'!$BK$4:$BO$23,3,FALSE),0)</f>
        <v>0</v>
      </c>
      <c r="K330" s="532">
        <v>0</v>
      </c>
      <c r="L330" s="529">
        <f>IFERROR(VLOOKUP($B330,'3.Tasks'!$BK$4:$BO$23,4,FALSE),0)</f>
        <v>0</v>
      </c>
      <c r="M330" s="532">
        <v>0</v>
      </c>
      <c r="N330" s="529">
        <f>IFERROR(VLOOKUP($B330,'3.Tasks'!$BK$4:$BO$23,5,FALSE),0)</f>
        <v>0</v>
      </c>
      <c r="O330" s="532">
        <v>0</v>
      </c>
      <c r="P330" s="530">
        <f t="shared" si="51"/>
        <v>0</v>
      </c>
      <c r="AJ330" s="110"/>
      <c r="AK330" s="110"/>
      <c r="AL330" s="110"/>
      <c r="AM330" s="110"/>
      <c r="AN330" s="110"/>
      <c r="AO330" s="110"/>
      <c r="AP330" s="110"/>
      <c r="AQ330" s="110"/>
      <c r="AR330" s="110"/>
      <c r="AS330" s="110"/>
      <c r="AT330" s="110"/>
      <c r="AU330" s="110"/>
      <c r="AV330" s="110"/>
      <c r="AW330" s="110"/>
      <c r="AX330" s="110"/>
      <c r="AY330" s="110"/>
      <c r="AZ330" s="110"/>
      <c r="BA330" s="110"/>
      <c r="BB330" s="110"/>
      <c r="BC330" s="110"/>
      <c r="BD330" s="110"/>
      <c r="BE330" s="110"/>
      <c r="BF330" s="110"/>
      <c r="BG330" s="110"/>
      <c r="BH330" s="110"/>
      <c r="BI330" s="110"/>
      <c r="BJ330" s="110"/>
      <c r="BK330" s="110"/>
      <c r="BL330" s="110"/>
    </row>
    <row r="331" spans="1:64">
      <c r="A331" s="529">
        <f t="shared" si="52"/>
        <v>7</v>
      </c>
      <c r="B331" s="529" t="s">
        <v>827</v>
      </c>
      <c r="C331" s="529" t="s">
        <v>27</v>
      </c>
      <c r="D331" s="529" t="str">
        <f>VLOOKUP(A331,Tabela8[[No.]:[Institution**]],9,FALSE)</f>
        <v>FCiências.ID</v>
      </c>
      <c r="E331" s="531" t="s">
        <v>41</v>
      </c>
      <c r="F331" s="529">
        <f>HLOOKUP(C331,'5.Equipments'!$AJ$2:$BC$22,(A331+1),FALSE)</f>
        <v>0</v>
      </c>
      <c r="G331" s="526">
        <f t="shared" si="50"/>
        <v>0</v>
      </c>
      <c r="H331" s="525">
        <f>IFERROR(VLOOKUP($B331,'3.Tasks'!$BK$4:$BO$23,2,FALSE),0)</f>
        <v>0</v>
      </c>
      <c r="I331" s="529">
        <f t="shared" ref="I331:I394" si="53">+F331</f>
        <v>0</v>
      </c>
      <c r="J331" s="529">
        <f>IFERROR(VLOOKUP($B331,'3.Tasks'!$BK$4:$BO$23,3,FALSE),0)</f>
        <v>0</v>
      </c>
      <c r="K331" s="532">
        <v>0</v>
      </c>
      <c r="L331" s="529">
        <f>IFERROR(VLOOKUP($B331,'3.Tasks'!$BK$4:$BO$23,4,FALSE),0)</f>
        <v>0</v>
      </c>
      <c r="M331" s="532">
        <v>0</v>
      </c>
      <c r="N331" s="529">
        <f>IFERROR(VLOOKUP($B331,'3.Tasks'!$BK$4:$BO$23,5,FALSE),0)</f>
        <v>0</v>
      </c>
      <c r="O331" s="532">
        <v>0</v>
      </c>
      <c r="P331" s="530">
        <f t="shared" si="51"/>
        <v>0</v>
      </c>
      <c r="AJ331" s="110"/>
      <c r="AK331" s="110"/>
      <c r="AL331" s="110"/>
      <c r="AM331" s="110"/>
      <c r="AN331" s="110"/>
      <c r="AO331" s="110"/>
      <c r="AP331" s="110"/>
      <c r="AQ331" s="110"/>
      <c r="AR331" s="110"/>
      <c r="AS331" s="110"/>
      <c r="AT331" s="110"/>
      <c r="AU331" s="110"/>
      <c r="AV331" s="110"/>
      <c r="AW331" s="110"/>
      <c r="AX331" s="110"/>
      <c r="AY331" s="110"/>
      <c r="AZ331" s="110"/>
      <c r="BA331" s="110"/>
      <c r="BB331" s="110"/>
      <c r="BC331" s="110"/>
      <c r="BD331" s="110"/>
      <c r="BE331" s="110"/>
      <c r="BF331" s="110"/>
      <c r="BG331" s="110"/>
      <c r="BH331" s="110"/>
      <c r="BI331" s="110"/>
      <c r="BJ331" s="110"/>
      <c r="BK331" s="110"/>
      <c r="BL331" s="110"/>
    </row>
    <row r="332" spans="1:64">
      <c r="A332" s="529">
        <f t="shared" si="52"/>
        <v>7</v>
      </c>
      <c r="B332" s="529" t="s">
        <v>828</v>
      </c>
      <c r="C332" s="529" t="s">
        <v>28</v>
      </c>
      <c r="D332" s="529" t="str">
        <f>VLOOKUP(A332,Tabela8[[No.]:[Institution**]],9,FALSE)</f>
        <v>FCiências.ID</v>
      </c>
      <c r="E332" s="531" t="s">
        <v>41</v>
      </c>
      <c r="F332" s="529">
        <f>HLOOKUP(C332,'5.Equipments'!$AJ$2:$BC$22,(A332+1),FALSE)</f>
        <v>0</v>
      </c>
      <c r="G332" s="526">
        <f t="shared" si="50"/>
        <v>0</v>
      </c>
      <c r="H332" s="525">
        <f>IFERROR(VLOOKUP($B332,'3.Tasks'!$BK$4:$BO$23,2,FALSE),0)</f>
        <v>0</v>
      </c>
      <c r="I332" s="529">
        <f t="shared" si="53"/>
        <v>0</v>
      </c>
      <c r="J332" s="529">
        <f>IFERROR(VLOOKUP($B332,'3.Tasks'!$BK$4:$BO$23,3,FALSE),0)</f>
        <v>0</v>
      </c>
      <c r="K332" s="532">
        <v>0</v>
      </c>
      <c r="L332" s="529">
        <f>IFERROR(VLOOKUP($B332,'3.Tasks'!$BK$4:$BO$23,4,FALSE),0)</f>
        <v>0</v>
      </c>
      <c r="M332" s="532">
        <v>0</v>
      </c>
      <c r="N332" s="529">
        <f>IFERROR(VLOOKUP($B332,'3.Tasks'!$BK$4:$BO$23,5,FALSE),0)</f>
        <v>0</v>
      </c>
      <c r="O332" s="532">
        <v>0</v>
      </c>
      <c r="P332" s="530">
        <f t="shared" si="51"/>
        <v>0</v>
      </c>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H332" s="110"/>
      <c r="BI332" s="110"/>
      <c r="BJ332" s="110"/>
      <c r="BK332" s="110"/>
      <c r="BL332" s="110"/>
    </row>
    <row r="333" spans="1:64">
      <c r="A333" s="529">
        <f t="shared" si="52"/>
        <v>7</v>
      </c>
      <c r="B333" s="529" t="s">
        <v>829</v>
      </c>
      <c r="C333" s="529" t="s">
        <v>29</v>
      </c>
      <c r="D333" s="529" t="str">
        <f>VLOOKUP(A333,Tabela8[[No.]:[Institution**]],9,FALSE)</f>
        <v>FCiências.ID</v>
      </c>
      <c r="E333" s="531" t="s">
        <v>41</v>
      </c>
      <c r="F333" s="529">
        <f>HLOOKUP(C333,'5.Equipments'!$AJ$2:$BC$22,(A333+1),FALSE)</f>
        <v>0</v>
      </c>
      <c r="G333" s="526">
        <f t="shared" si="50"/>
        <v>0</v>
      </c>
      <c r="H333" s="525">
        <f>IFERROR(VLOOKUP($B333,'3.Tasks'!$BK$4:$BO$23,2,FALSE),0)</f>
        <v>0</v>
      </c>
      <c r="I333" s="529">
        <f t="shared" si="53"/>
        <v>0</v>
      </c>
      <c r="J333" s="529">
        <f>IFERROR(VLOOKUP($B333,'3.Tasks'!$BK$4:$BO$23,3,FALSE),0)</f>
        <v>0</v>
      </c>
      <c r="K333" s="532">
        <v>0</v>
      </c>
      <c r="L333" s="529">
        <f>IFERROR(VLOOKUP($B333,'3.Tasks'!$BK$4:$BO$23,4,FALSE),0)</f>
        <v>0</v>
      </c>
      <c r="M333" s="532">
        <v>0</v>
      </c>
      <c r="N333" s="529">
        <f>IFERROR(VLOOKUP($B333,'3.Tasks'!$BK$4:$BO$23,5,FALSE),0)</f>
        <v>0</v>
      </c>
      <c r="O333" s="532">
        <v>0</v>
      </c>
      <c r="P333" s="530">
        <f t="shared" si="51"/>
        <v>0</v>
      </c>
      <c r="AJ333" s="110"/>
      <c r="AK333" s="110"/>
      <c r="AL333" s="110"/>
      <c r="AM333" s="110"/>
      <c r="AN333" s="110"/>
      <c r="AO333" s="110"/>
      <c r="AP333" s="110"/>
      <c r="AQ333" s="110"/>
      <c r="AR333" s="110"/>
      <c r="AS333" s="110"/>
      <c r="AT333" s="110"/>
      <c r="AU333" s="110"/>
      <c r="AV333" s="110"/>
      <c r="AW333" s="110"/>
      <c r="AX333" s="110"/>
      <c r="AY333" s="110"/>
      <c r="AZ333" s="110"/>
      <c r="BA333" s="110"/>
      <c r="BB333" s="110"/>
      <c r="BC333" s="110"/>
      <c r="BD333" s="110"/>
      <c r="BE333" s="110"/>
      <c r="BF333" s="110"/>
      <c r="BG333" s="110"/>
      <c r="BH333" s="110"/>
      <c r="BI333" s="110"/>
      <c r="BJ333" s="110"/>
      <c r="BK333" s="110"/>
      <c r="BL333" s="110"/>
    </row>
    <row r="334" spans="1:64">
      <c r="A334" s="529">
        <f t="shared" si="52"/>
        <v>7</v>
      </c>
      <c r="B334" s="529" t="s">
        <v>830</v>
      </c>
      <c r="C334" s="529" t="s">
        <v>30</v>
      </c>
      <c r="D334" s="529" t="str">
        <f>VLOOKUP(A334,Tabela8[[No.]:[Institution**]],9,FALSE)</f>
        <v>FCiências.ID</v>
      </c>
      <c r="E334" s="531" t="s">
        <v>41</v>
      </c>
      <c r="F334" s="529">
        <f>HLOOKUP(C334,'5.Equipments'!$AJ$2:$BC$22,(A334+1),FALSE)</f>
        <v>0</v>
      </c>
      <c r="G334" s="526">
        <f t="shared" si="50"/>
        <v>0</v>
      </c>
      <c r="H334" s="525">
        <f>IFERROR(VLOOKUP($B334,'3.Tasks'!$BK$4:$BO$23,2,FALSE),0)</f>
        <v>0</v>
      </c>
      <c r="I334" s="529">
        <f t="shared" si="53"/>
        <v>0</v>
      </c>
      <c r="J334" s="529">
        <f>IFERROR(VLOOKUP($B334,'3.Tasks'!$BK$4:$BO$23,3,FALSE),0)</f>
        <v>0</v>
      </c>
      <c r="K334" s="532">
        <v>0</v>
      </c>
      <c r="L334" s="529">
        <f>IFERROR(VLOOKUP($B334,'3.Tasks'!$BK$4:$BO$23,4,FALSE),0)</f>
        <v>0</v>
      </c>
      <c r="M334" s="532">
        <v>0</v>
      </c>
      <c r="N334" s="529">
        <f>IFERROR(VLOOKUP($B334,'3.Tasks'!$BK$4:$BO$23,5,FALSE),0)</f>
        <v>0</v>
      </c>
      <c r="O334" s="532">
        <v>0</v>
      </c>
      <c r="P334" s="530">
        <f t="shared" si="51"/>
        <v>0</v>
      </c>
      <c r="AJ334" s="110"/>
      <c r="AK334" s="110"/>
      <c r="AL334" s="110"/>
      <c r="AM334" s="110"/>
      <c r="AN334" s="110"/>
      <c r="AO334" s="110"/>
      <c r="AP334" s="110"/>
      <c r="AQ334" s="110"/>
      <c r="AR334" s="110"/>
      <c r="AS334" s="110"/>
      <c r="AT334" s="110"/>
      <c r="AU334" s="110"/>
      <c r="AV334" s="110"/>
      <c r="AW334" s="110"/>
      <c r="AX334" s="110"/>
      <c r="AY334" s="110"/>
      <c r="AZ334" s="110"/>
      <c r="BA334" s="110"/>
      <c r="BB334" s="110"/>
      <c r="BC334" s="110"/>
      <c r="BD334" s="110"/>
      <c r="BE334" s="110"/>
      <c r="BF334" s="110"/>
      <c r="BG334" s="110"/>
      <c r="BH334" s="110"/>
      <c r="BI334" s="110"/>
      <c r="BJ334" s="110"/>
      <c r="BK334" s="110"/>
      <c r="BL334" s="110"/>
    </row>
    <row r="335" spans="1:64">
      <c r="A335" s="529">
        <f t="shared" si="52"/>
        <v>7</v>
      </c>
      <c r="B335" s="529" t="s">
        <v>831</v>
      </c>
      <c r="C335" s="529" t="s">
        <v>31</v>
      </c>
      <c r="D335" s="529" t="str">
        <f>VLOOKUP(A335,Tabela8[[No.]:[Institution**]],9,FALSE)</f>
        <v>FCiências.ID</v>
      </c>
      <c r="E335" s="531" t="s">
        <v>41</v>
      </c>
      <c r="F335" s="529">
        <f>HLOOKUP(C335,'5.Equipments'!$AJ$2:$BC$22,(A335+1),FALSE)</f>
        <v>0</v>
      </c>
      <c r="G335" s="526">
        <f t="shared" si="50"/>
        <v>0</v>
      </c>
      <c r="H335" s="525">
        <f>IFERROR(VLOOKUP($B335,'3.Tasks'!$BK$4:$BO$23,2,FALSE),0)</f>
        <v>0</v>
      </c>
      <c r="I335" s="529">
        <f t="shared" si="53"/>
        <v>0</v>
      </c>
      <c r="J335" s="529">
        <f>IFERROR(VLOOKUP($B335,'3.Tasks'!$BK$4:$BO$23,3,FALSE),0)</f>
        <v>0</v>
      </c>
      <c r="K335" s="532">
        <v>0</v>
      </c>
      <c r="L335" s="529">
        <f>IFERROR(VLOOKUP($B335,'3.Tasks'!$BK$4:$BO$23,4,FALSE),0)</f>
        <v>0</v>
      </c>
      <c r="M335" s="532">
        <v>0</v>
      </c>
      <c r="N335" s="529">
        <f>IFERROR(VLOOKUP($B335,'3.Tasks'!$BK$4:$BO$23,5,FALSE),0)</f>
        <v>0</v>
      </c>
      <c r="O335" s="532">
        <v>0</v>
      </c>
      <c r="P335" s="530">
        <f t="shared" si="51"/>
        <v>0</v>
      </c>
      <c r="AJ335" s="110"/>
      <c r="AK335" s="110"/>
      <c r="AL335" s="110"/>
      <c r="AM335" s="110"/>
      <c r="AN335" s="110"/>
      <c r="AO335" s="110"/>
      <c r="AP335" s="110"/>
      <c r="AQ335" s="110"/>
      <c r="AR335" s="110"/>
      <c r="AS335" s="110"/>
      <c r="AT335" s="110"/>
      <c r="AU335" s="110"/>
      <c r="AV335" s="110"/>
      <c r="AW335" s="110"/>
      <c r="AX335" s="110"/>
      <c r="AY335" s="110"/>
      <c r="AZ335" s="110"/>
      <c r="BA335" s="110"/>
      <c r="BB335" s="110"/>
      <c r="BC335" s="110"/>
      <c r="BD335" s="110"/>
      <c r="BE335" s="110"/>
      <c r="BF335" s="110"/>
      <c r="BG335" s="110"/>
      <c r="BH335" s="110"/>
      <c r="BI335" s="110"/>
      <c r="BJ335" s="110"/>
      <c r="BK335" s="110"/>
      <c r="BL335" s="110"/>
    </row>
    <row r="336" spans="1:64">
      <c r="A336" s="529">
        <f t="shared" si="52"/>
        <v>7</v>
      </c>
      <c r="B336" s="529" t="s">
        <v>832</v>
      </c>
      <c r="C336" s="529" t="s">
        <v>32</v>
      </c>
      <c r="D336" s="529" t="str">
        <f>VLOOKUP(A336,Tabela8[[No.]:[Institution**]],9,FALSE)</f>
        <v>FCiências.ID</v>
      </c>
      <c r="E336" s="531" t="s">
        <v>41</v>
      </c>
      <c r="F336" s="529">
        <f>HLOOKUP(C336,'5.Equipments'!$AJ$2:$BC$22,(A336+1),FALSE)</f>
        <v>0</v>
      </c>
      <c r="G336" s="526">
        <f t="shared" si="50"/>
        <v>0</v>
      </c>
      <c r="H336" s="525">
        <f>IFERROR(VLOOKUP($B336,'3.Tasks'!$BK$4:$BO$23,2,FALSE),0)</f>
        <v>0</v>
      </c>
      <c r="I336" s="529">
        <f t="shared" si="53"/>
        <v>0</v>
      </c>
      <c r="J336" s="529">
        <f>IFERROR(VLOOKUP($B336,'3.Tasks'!$BK$4:$BO$23,3,FALSE),0)</f>
        <v>0</v>
      </c>
      <c r="K336" s="532">
        <v>0</v>
      </c>
      <c r="L336" s="529">
        <f>IFERROR(VLOOKUP($B336,'3.Tasks'!$BK$4:$BO$23,4,FALSE),0)</f>
        <v>0</v>
      </c>
      <c r="M336" s="532">
        <v>0</v>
      </c>
      <c r="N336" s="529">
        <f>IFERROR(VLOOKUP($B336,'3.Tasks'!$BK$4:$BO$23,5,FALSE),0)</f>
        <v>0</v>
      </c>
      <c r="O336" s="532">
        <v>0</v>
      </c>
      <c r="P336" s="530">
        <f t="shared" si="51"/>
        <v>0</v>
      </c>
      <c r="AJ336" s="110"/>
      <c r="AK336" s="110"/>
      <c r="AL336" s="110"/>
      <c r="AM336" s="110"/>
      <c r="AN336" s="110"/>
      <c r="AO336" s="110"/>
      <c r="AP336" s="110"/>
      <c r="AQ336" s="110"/>
      <c r="AR336" s="110"/>
      <c r="AS336" s="110"/>
      <c r="AT336" s="110"/>
      <c r="AU336" s="110"/>
      <c r="AV336" s="110"/>
      <c r="AW336" s="110"/>
      <c r="AX336" s="110"/>
      <c r="AY336" s="110"/>
      <c r="AZ336" s="110"/>
      <c r="BA336" s="110"/>
      <c r="BB336" s="110"/>
      <c r="BC336" s="110"/>
      <c r="BD336" s="110"/>
      <c r="BE336" s="110"/>
      <c r="BF336" s="110"/>
      <c r="BG336" s="110"/>
      <c r="BH336" s="110"/>
      <c r="BI336" s="110"/>
      <c r="BJ336" s="110"/>
      <c r="BK336" s="110"/>
      <c r="BL336" s="110"/>
    </row>
    <row r="337" spans="1:64">
      <c r="A337" s="529">
        <f t="shared" si="52"/>
        <v>7</v>
      </c>
      <c r="B337" s="529" t="s">
        <v>833</v>
      </c>
      <c r="C337" s="529" t="s">
        <v>33</v>
      </c>
      <c r="D337" s="529" t="str">
        <f>VLOOKUP(A337,Tabela8[[No.]:[Institution**]],9,FALSE)</f>
        <v>FCiências.ID</v>
      </c>
      <c r="E337" s="531" t="s">
        <v>41</v>
      </c>
      <c r="F337" s="529">
        <f>HLOOKUP(C337,'5.Equipments'!$AJ$2:$BC$22,(A337+1),FALSE)</f>
        <v>0</v>
      </c>
      <c r="G337" s="526">
        <f t="shared" si="50"/>
        <v>0</v>
      </c>
      <c r="H337" s="525">
        <f>IFERROR(VLOOKUP($B337,'3.Tasks'!$BK$4:$BO$23,2,FALSE),0)</f>
        <v>0</v>
      </c>
      <c r="I337" s="529">
        <f t="shared" si="53"/>
        <v>0</v>
      </c>
      <c r="J337" s="529">
        <f>IFERROR(VLOOKUP($B337,'3.Tasks'!$BK$4:$BO$23,3,FALSE),0)</f>
        <v>0</v>
      </c>
      <c r="K337" s="532">
        <v>0</v>
      </c>
      <c r="L337" s="529">
        <f>IFERROR(VLOOKUP($B337,'3.Tasks'!$BK$4:$BO$23,4,FALSE),0)</f>
        <v>0</v>
      </c>
      <c r="M337" s="532">
        <v>0</v>
      </c>
      <c r="N337" s="529">
        <f>IFERROR(VLOOKUP($B337,'3.Tasks'!$BK$4:$BO$23,5,FALSE),0)</f>
        <v>0</v>
      </c>
      <c r="O337" s="532">
        <v>0</v>
      </c>
      <c r="P337" s="530">
        <f t="shared" si="51"/>
        <v>0</v>
      </c>
      <c r="AJ337" s="110"/>
      <c r="AK337" s="110"/>
      <c r="AL337" s="110"/>
      <c r="AM337" s="110"/>
      <c r="AN337" s="110"/>
      <c r="AO337" s="110"/>
      <c r="AP337" s="110"/>
      <c r="AQ337" s="110"/>
      <c r="AR337" s="110"/>
      <c r="AS337" s="110"/>
      <c r="AT337" s="110"/>
      <c r="AU337" s="110"/>
      <c r="AV337" s="110"/>
      <c r="AW337" s="110"/>
      <c r="AX337" s="110"/>
      <c r="AY337" s="110"/>
      <c r="AZ337" s="110"/>
      <c r="BA337" s="110"/>
      <c r="BB337" s="110"/>
      <c r="BC337" s="110"/>
      <c r="BD337" s="110"/>
      <c r="BE337" s="110"/>
      <c r="BF337" s="110"/>
      <c r="BG337" s="110"/>
      <c r="BH337" s="110"/>
      <c r="BI337" s="110"/>
      <c r="BJ337" s="110"/>
      <c r="BK337" s="110"/>
      <c r="BL337" s="110"/>
    </row>
    <row r="338" spans="1:64">
      <c r="A338" s="529">
        <f t="shared" si="52"/>
        <v>7</v>
      </c>
      <c r="B338" s="529" t="s">
        <v>834</v>
      </c>
      <c r="C338" s="529" t="s">
        <v>34</v>
      </c>
      <c r="D338" s="529" t="str">
        <f>VLOOKUP(A338,Tabela8[[No.]:[Institution**]],9,FALSE)</f>
        <v>FCiências.ID</v>
      </c>
      <c r="E338" s="531" t="s">
        <v>41</v>
      </c>
      <c r="F338" s="529">
        <f>HLOOKUP(C338,'5.Equipments'!$AJ$2:$BC$22,(A338+1),FALSE)</f>
        <v>0</v>
      </c>
      <c r="G338" s="526">
        <f t="shared" si="50"/>
        <v>0</v>
      </c>
      <c r="H338" s="525">
        <f>IFERROR(VLOOKUP($B338,'3.Tasks'!$BK$4:$BO$23,2,FALSE),0)</f>
        <v>0</v>
      </c>
      <c r="I338" s="529">
        <f t="shared" si="53"/>
        <v>0</v>
      </c>
      <c r="J338" s="529">
        <f>IFERROR(VLOOKUP($B338,'3.Tasks'!$BK$4:$BO$23,3,FALSE),0)</f>
        <v>0</v>
      </c>
      <c r="K338" s="532">
        <v>0</v>
      </c>
      <c r="L338" s="529">
        <f>IFERROR(VLOOKUP($B338,'3.Tasks'!$BK$4:$BO$23,4,FALSE),0)</f>
        <v>0</v>
      </c>
      <c r="M338" s="532">
        <v>0</v>
      </c>
      <c r="N338" s="529">
        <f>IFERROR(VLOOKUP($B338,'3.Tasks'!$BK$4:$BO$23,5,FALSE),0)</f>
        <v>0</v>
      </c>
      <c r="O338" s="532">
        <v>0</v>
      </c>
      <c r="P338" s="530">
        <f t="shared" si="51"/>
        <v>0</v>
      </c>
      <c r="AJ338" s="110"/>
      <c r="AK338" s="110"/>
      <c r="AL338" s="110"/>
      <c r="AM338" s="110"/>
      <c r="AN338" s="110"/>
      <c r="AO338" s="110"/>
      <c r="AP338" s="110"/>
      <c r="AQ338" s="110"/>
      <c r="AR338" s="110"/>
      <c r="AS338" s="110"/>
      <c r="AT338" s="110"/>
      <c r="AU338" s="110"/>
      <c r="AV338" s="110"/>
      <c r="AW338" s="110"/>
      <c r="AX338" s="110"/>
      <c r="AY338" s="110"/>
      <c r="AZ338" s="110"/>
      <c r="BA338" s="110"/>
      <c r="BB338" s="110"/>
      <c r="BC338" s="110"/>
      <c r="BD338" s="110"/>
      <c r="BE338" s="110"/>
      <c r="BF338" s="110"/>
      <c r="BG338" s="110"/>
      <c r="BH338" s="110"/>
      <c r="BI338" s="110"/>
      <c r="BJ338" s="110"/>
      <c r="BK338" s="110"/>
      <c r="BL338" s="110"/>
    </row>
    <row r="339" spans="1:64">
      <c r="A339" s="529">
        <f t="shared" si="52"/>
        <v>7</v>
      </c>
      <c r="B339" s="529" t="s">
        <v>835</v>
      </c>
      <c r="C339" s="529" t="s">
        <v>35</v>
      </c>
      <c r="D339" s="529" t="str">
        <f>VLOOKUP(A339,Tabela8[[No.]:[Institution**]],9,FALSE)</f>
        <v>FCiências.ID</v>
      </c>
      <c r="E339" s="531" t="s">
        <v>41</v>
      </c>
      <c r="F339" s="529">
        <f>HLOOKUP(C339,'5.Equipments'!$AJ$2:$BC$22,(A339+1),FALSE)</f>
        <v>0</v>
      </c>
      <c r="G339" s="526">
        <f t="shared" si="50"/>
        <v>0</v>
      </c>
      <c r="H339" s="525">
        <f>IFERROR(VLOOKUP($B339,'3.Tasks'!$BK$4:$BO$23,2,FALSE),0)</f>
        <v>0</v>
      </c>
      <c r="I339" s="529">
        <f t="shared" si="53"/>
        <v>0</v>
      </c>
      <c r="J339" s="529">
        <f>IFERROR(VLOOKUP($B339,'3.Tasks'!$BK$4:$BO$23,3,FALSE),0)</f>
        <v>0</v>
      </c>
      <c r="K339" s="532">
        <v>0</v>
      </c>
      <c r="L339" s="529">
        <f>IFERROR(VLOOKUP($B339,'3.Tasks'!$BK$4:$BO$23,4,FALSE),0)</f>
        <v>0</v>
      </c>
      <c r="M339" s="532">
        <v>0</v>
      </c>
      <c r="N339" s="529">
        <f>IFERROR(VLOOKUP($B339,'3.Tasks'!$BK$4:$BO$23,5,FALSE),0)</f>
        <v>0</v>
      </c>
      <c r="O339" s="532">
        <v>0</v>
      </c>
      <c r="P339" s="530">
        <f t="shared" si="51"/>
        <v>0</v>
      </c>
      <c r="AJ339" s="110"/>
      <c r="AK339" s="110"/>
      <c r="AL339" s="110"/>
      <c r="AM339" s="110"/>
      <c r="AN339" s="110"/>
      <c r="AO339" s="110"/>
      <c r="AP339" s="110"/>
      <c r="AQ339" s="110"/>
      <c r="AR339" s="110"/>
      <c r="AS339" s="110"/>
      <c r="AT339" s="110"/>
      <c r="AU339" s="110"/>
      <c r="AV339" s="110"/>
      <c r="AW339" s="110"/>
      <c r="AX339" s="110"/>
      <c r="AY339" s="110"/>
      <c r="AZ339" s="110"/>
      <c r="BA339" s="110"/>
      <c r="BB339" s="110"/>
      <c r="BC339" s="110"/>
      <c r="BD339" s="110"/>
      <c r="BE339" s="110"/>
      <c r="BF339" s="110"/>
      <c r="BG339" s="110"/>
      <c r="BH339" s="110"/>
      <c r="BI339" s="110"/>
      <c r="BJ339" s="110"/>
      <c r="BK339" s="110"/>
      <c r="BL339" s="110"/>
    </row>
    <row r="340" spans="1:64">
      <c r="A340" s="529">
        <f t="shared" si="52"/>
        <v>7</v>
      </c>
      <c r="B340" s="529" t="s">
        <v>836</v>
      </c>
      <c r="C340" s="529" t="s">
        <v>36</v>
      </c>
      <c r="D340" s="529" t="str">
        <f>VLOOKUP(A340,Tabela8[[No.]:[Institution**]],9,FALSE)</f>
        <v>FCiências.ID</v>
      </c>
      <c r="E340" s="531" t="s">
        <v>41</v>
      </c>
      <c r="F340" s="529">
        <f>HLOOKUP(C340,'5.Equipments'!$AJ$2:$BC$22,(A340+1),FALSE)</f>
        <v>0</v>
      </c>
      <c r="G340" s="526">
        <f t="shared" si="50"/>
        <v>0</v>
      </c>
      <c r="H340" s="525">
        <f>IFERROR(VLOOKUP($B340,'3.Tasks'!$BK$4:$BO$23,2,FALSE),0)</f>
        <v>0</v>
      </c>
      <c r="I340" s="529">
        <f t="shared" si="53"/>
        <v>0</v>
      </c>
      <c r="J340" s="529">
        <f>IFERROR(VLOOKUP($B340,'3.Tasks'!$BK$4:$BO$23,3,FALSE),0)</f>
        <v>0</v>
      </c>
      <c r="K340" s="532">
        <v>0</v>
      </c>
      <c r="L340" s="529">
        <f>IFERROR(VLOOKUP($B340,'3.Tasks'!$BK$4:$BO$23,4,FALSE),0)</f>
        <v>0</v>
      </c>
      <c r="M340" s="532">
        <v>0</v>
      </c>
      <c r="N340" s="529">
        <f>IFERROR(VLOOKUP($B340,'3.Tasks'!$BK$4:$BO$23,5,FALSE),0)</f>
        <v>0</v>
      </c>
      <c r="O340" s="532">
        <v>0</v>
      </c>
      <c r="P340" s="530">
        <f t="shared" si="51"/>
        <v>0</v>
      </c>
      <c r="AJ340" s="110"/>
      <c r="AK340" s="110"/>
      <c r="AL340" s="110"/>
      <c r="AM340" s="110"/>
      <c r="AN340" s="110"/>
      <c r="AO340" s="110"/>
      <c r="AP340" s="110"/>
      <c r="AQ340" s="110"/>
      <c r="AR340" s="110"/>
      <c r="AS340" s="110"/>
      <c r="AT340" s="110"/>
      <c r="AU340" s="110"/>
      <c r="AV340" s="110"/>
      <c r="AW340" s="110"/>
      <c r="AX340" s="110"/>
      <c r="AY340" s="110"/>
      <c r="AZ340" s="110"/>
      <c r="BA340" s="110"/>
      <c r="BB340" s="110"/>
      <c r="BC340" s="110"/>
      <c r="BD340" s="110"/>
      <c r="BE340" s="110"/>
      <c r="BF340" s="110"/>
      <c r="BG340" s="110"/>
      <c r="BH340" s="110"/>
      <c r="BI340" s="110"/>
      <c r="BJ340" s="110"/>
      <c r="BK340" s="110"/>
      <c r="BL340" s="110"/>
    </row>
    <row r="341" spans="1:64">
      <c r="A341" s="529">
        <f t="shared" si="52"/>
        <v>7</v>
      </c>
      <c r="B341" s="529" t="s">
        <v>837</v>
      </c>
      <c r="C341" s="529" t="s">
        <v>37</v>
      </c>
      <c r="D341" s="529" t="str">
        <f>VLOOKUP(A341,Tabela8[[No.]:[Institution**]],9,FALSE)</f>
        <v>FCiências.ID</v>
      </c>
      <c r="E341" s="531" t="s">
        <v>41</v>
      </c>
      <c r="F341" s="529">
        <f>HLOOKUP(C341,'5.Equipments'!$AJ$2:$BC$22,(A341+1),FALSE)</f>
        <v>0</v>
      </c>
      <c r="G341" s="526">
        <f t="shared" si="50"/>
        <v>0</v>
      </c>
      <c r="H341" s="525">
        <f>IFERROR(VLOOKUP($B341,'3.Tasks'!$BK$4:$BO$23,2,FALSE),0)</f>
        <v>0</v>
      </c>
      <c r="I341" s="529">
        <f t="shared" si="53"/>
        <v>0</v>
      </c>
      <c r="J341" s="529">
        <f>IFERROR(VLOOKUP($B341,'3.Tasks'!$BK$4:$BO$23,3,FALSE),0)</f>
        <v>0</v>
      </c>
      <c r="K341" s="532">
        <v>0</v>
      </c>
      <c r="L341" s="529">
        <f>IFERROR(VLOOKUP($B341,'3.Tasks'!$BK$4:$BO$23,4,FALSE),0)</f>
        <v>0</v>
      </c>
      <c r="M341" s="532">
        <v>0</v>
      </c>
      <c r="N341" s="529">
        <f>IFERROR(VLOOKUP($B341,'3.Tasks'!$BK$4:$BO$23,5,FALSE),0)</f>
        <v>0</v>
      </c>
      <c r="O341" s="532">
        <v>0</v>
      </c>
      <c r="P341" s="530">
        <f t="shared" si="51"/>
        <v>0</v>
      </c>
      <c r="AJ341" s="110"/>
      <c r="AK341" s="110"/>
      <c r="AL341" s="110"/>
      <c r="AM341" s="110"/>
      <c r="AN341" s="110"/>
      <c r="AO341" s="110"/>
      <c r="AP341" s="110"/>
      <c r="AQ341" s="110"/>
      <c r="AR341" s="110"/>
      <c r="AS341" s="110"/>
      <c r="AT341" s="110"/>
      <c r="AU341" s="110"/>
      <c r="AV341" s="110"/>
      <c r="AW341" s="110"/>
      <c r="AX341" s="110"/>
      <c r="AY341" s="110"/>
      <c r="AZ341" s="110"/>
      <c r="BA341" s="110"/>
      <c r="BB341" s="110"/>
      <c r="BC341" s="110"/>
      <c r="BD341" s="110"/>
      <c r="BE341" s="110"/>
      <c r="BF341" s="110"/>
      <c r="BG341" s="110"/>
      <c r="BH341" s="110"/>
      <c r="BI341" s="110"/>
      <c r="BJ341" s="110"/>
      <c r="BK341" s="110"/>
      <c r="BL341" s="110"/>
    </row>
    <row r="342" spans="1:64">
      <c r="A342" s="529">
        <v>8</v>
      </c>
      <c r="B342" s="529" t="s">
        <v>818</v>
      </c>
      <c r="C342" s="529" t="s">
        <v>18</v>
      </c>
      <c r="D342" s="529" t="str">
        <f>VLOOKUP(A342,Tabela8[[No.]:[Institution**]],9,FALSE)</f>
        <v>FCiências.ID</v>
      </c>
      <c r="E342" s="531" t="s">
        <v>41</v>
      </c>
      <c r="F342" s="529">
        <f>HLOOKUP(C342,'5.Equipments'!$AJ$2:$BC$22,(A342+1),FALSE)</f>
        <v>0</v>
      </c>
      <c r="G342" s="526">
        <f t="shared" si="50"/>
        <v>0</v>
      </c>
      <c r="H342" s="525">
        <f>IFERROR(VLOOKUP($B342,'3.Tasks'!$BK$4:$BO$23,2,FALSE),0)</f>
        <v>0</v>
      </c>
      <c r="I342" s="529">
        <f t="shared" si="53"/>
        <v>0</v>
      </c>
      <c r="J342" s="529">
        <f>IFERROR(VLOOKUP($B342,'3.Tasks'!$BK$4:$BO$23,3,FALSE),0)</f>
        <v>0</v>
      </c>
      <c r="K342" s="532">
        <v>0</v>
      </c>
      <c r="L342" s="529">
        <f>IFERROR(VLOOKUP($B342,'3.Tasks'!$BK$4:$BO$23,4,FALSE),0)</f>
        <v>0</v>
      </c>
      <c r="M342" s="532">
        <v>0</v>
      </c>
      <c r="N342" s="529">
        <f>IFERROR(VLOOKUP($B342,'3.Tasks'!$BK$4:$BO$23,5,FALSE),0)</f>
        <v>0</v>
      </c>
      <c r="O342" s="532">
        <v>0</v>
      </c>
      <c r="P342" s="530">
        <f t="shared" si="51"/>
        <v>0</v>
      </c>
      <c r="AJ342" s="110"/>
      <c r="AK342" s="110"/>
      <c r="AL342" s="110"/>
      <c r="AM342" s="110"/>
      <c r="AN342" s="110"/>
      <c r="AO342" s="110"/>
      <c r="AP342" s="110"/>
      <c r="AQ342" s="110"/>
      <c r="AR342" s="110"/>
      <c r="AS342" s="110"/>
      <c r="AT342" s="110"/>
      <c r="AU342" s="110"/>
      <c r="AV342" s="110"/>
      <c r="AW342" s="110"/>
      <c r="AX342" s="110"/>
      <c r="AY342" s="110"/>
      <c r="AZ342" s="110"/>
      <c r="BA342" s="110"/>
      <c r="BB342" s="110"/>
      <c r="BC342" s="110"/>
      <c r="BD342" s="110"/>
      <c r="BE342" s="110"/>
      <c r="BF342" s="110"/>
      <c r="BG342" s="110"/>
      <c r="BH342" s="110"/>
      <c r="BI342" s="110"/>
      <c r="BJ342" s="110"/>
      <c r="BK342" s="110"/>
      <c r="BL342" s="110"/>
    </row>
    <row r="343" spans="1:64">
      <c r="A343" s="529">
        <f>+A342</f>
        <v>8</v>
      </c>
      <c r="B343" s="529" t="s">
        <v>819</v>
      </c>
      <c r="C343" s="529" t="s">
        <v>19</v>
      </c>
      <c r="D343" s="529" t="str">
        <f>VLOOKUP(A343,Tabela8[[No.]:[Institution**]],9,FALSE)</f>
        <v>FCiências.ID</v>
      </c>
      <c r="E343" s="531" t="s">
        <v>41</v>
      </c>
      <c r="F343" s="529">
        <f>HLOOKUP(C343,'5.Equipments'!$AJ$2:$BC$22,(A343+1),FALSE)</f>
        <v>0</v>
      </c>
      <c r="G343" s="526">
        <f t="shared" si="50"/>
        <v>0</v>
      </c>
      <c r="H343" s="525">
        <f>IFERROR(VLOOKUP($B343,'3.Tasks'!$BK$4:$BO$23,2,FALSE),0)</f>
        <v>0</v>
      </c>
      <c r="I343" s="529">
        <f t="shared" si="53"/>
        <v>0</v>
      </c>
      <c r="J343" s="529">
        <f>IFERROR(VLOOKUP($B343,'3.Tasks'!$BK$4:$BO$23,3,FALSE),0)</f>
        <v>0</v>
      </c>
      <c r="K343" s="532">
        <v>0</v>
      </c>
      <c r="L343" s="529">
        <f>IFERROR(VLOOKUP($B343,'3.Tasks'!$BK$4:$BO$23,4,FALSE),0)</f>
        <v>0</v>
      </c>
      <c r="M343" s="532">
        <v>0</v>
      </c>
      <c r="N343" s="529">
        <f>IFERROR(VLOOKUP($B343,'3.Tasks'!$BK$4:$BO$23,5,FALSE),0)</f>
        <v>0</v>
      </c>
      <c r="O343" s="532">
        <v>0</v>
      </c>
      <c r="P343" s="530">
        <f t="shared" si="51"/>
        <v>0</v>
      </c>
      <c r="AJ343" s="110"/>
      <c r="AK343" s="110"/>
      <c r="AL343" s="110"/>
      <c r="AM343" s="110"/>
      <c r="AN343" s="110"/>
      <c r="AO343" s="110"/>
      <c r="AP343" s="110"/>
      <c r="AQ343" s="110"/>
      <c r="AR343" s="110"/>
      <c r="AS343" s="110"/>
      <c r="AT343" s="110"/>
      <c r="AU343" s="110"/>
      <c r="AV343" s="110"/>
      <c r="AW343" s="110"/>
      <c r="AX343" s="110"/>
      <c r="AY343" s="110"/>
      <c r="AZ343" s="110"/>
      <c r="BA343" s="110"/>
      <c r="BB343" s="110"/>
      <c r="BC343" s="110"/>
      <c r="BD343" s="110"/>
      <c r="BE343" s="110"/>
      <c r="BF343" s="110"/>
      <c r="BG343" s="110"/>
      <c r="BH343" s="110"/>
      <c r="BI343" s="110"/>
      <c r="BJ343" s="110"/>
      <c r="BK343" s="110"/>
      <c r="BL343" s="110"/>
    </row>
    <row r="344" spans="1:64">
      <c r="A344" s="529">
        <f t="shared" ref="A344:A361" si="54">+A343</f>
        <v>8</v>
      </c>
      <c r="B344" s="529" t="s">
        <v>820</v>
      </c>
      <c r="C344" s="529" t="s">
        <v>20</v>
      </c>
      <c r="D344" s="529" t="str">
        <f>VLOOKUP(A344,Tabela8[[No.]:[Institution**]],9,FALSE)</f>
        <v>FCiências.ID</v>
      </c>
      <c r="E344" s="531" t="s">
        <v>41</v>
      </c>
      <c r="F344" s="529">
        <f>HLOOKUP(C344,'5.Equipments'!$AJ$2:$BC$22,(A344+1),FALSE)</f>
        <v>0</v>
      </c>
      <c r="G344" s="526">
        <f t="shared" si="50"/>
        <v>0</v>
      </c>
      <c r="H344" s="525">
        <f>IFERROR(VLOOKUP($B344,'3.Tasks'!$BK$4:$BO$23,2,FALSE),0)</f>
        <v>0</v>
      </c>
      <c r="I344" s="529">
        <f t="shared" si="53"/>
        <v>0</v>
      </c>
      <c r="J344" s="529">
        <f>IFERROR(VLOOKUP($B344,'3.Tasks'!$BK$4:$BO$23,3,FALSE),0)</f>
        <v>0</v>
      </c>
      <c r="K344" s="532">
        <v>0</v>
      </c>
      <c r="L344" s="529">
        <f>IFERROR(VLOOKUP($B344,'3.Tasks'!$BK$4:$BO$23,4,FALSE),0)</f>
        <v>0</v>
      </c>
      <c r="M344" s="532">
        <v>0</v>
      </c>
      <c r="N344" s="529">
        <f>IFERROR(VLOOKUP($B344,'3.Tasks'!$BK$4:$BO$23,5,FALSE),0)</f>
        <v>0</v>
      </c>
      <c r="O344" s="532">
        <v>0</v>
      </c>
      <c r="P344" s="530">
        <f t="shared" si="51"/>
        <v>0</v>
      </c>
      <c r="AJ344" s="110"/>
      <c r="AK344" s="110"/>
      <c r="AL344" s="110"/>
      <c r="AM344" s="110"/>
      <c r="AN344" s="110"/>
      <c r="AO344" s="110"/>
      <c r="AP344" s="110"/>
      <c r="AQ344" s="110"/>
      <c r="AR344" s="110"/>
      <c r="AS344" s="110"/>
      <c r="AT344" s="110"/>
      <c r="AU344" s="110"/>
      <c r="AV344" s="110"/>
      <c r="AW344" s="110"/>
      <c r="AX344" s="110"/>
      <c r="AY344" s="110"/>
      <c r="AZ344" s="110"/>
      <c r="BA344" s="110"/>
      <c r="BB344" s="110"/>
      <c r="BC344" s="110"/>
      <c r="BD344" s="110"/>
      <c r="BE344" s="110"/>
      <c r="BF344" s="110"/>
      <c r="BG344" s="110"/>
      <c r="BH344" s="110"/>
      <c r="BI344" s="110"/>
      <c r="BJ344" s="110"/>
      <c r="BK344" s="110"/>
      <c r="BL344" s="110"/>
    </row>
    <row r="345" spans="1:64">
      <c r="A345" s="529">
        <f t="shared" si="54"/>
        <v>8</v>
      </c>
      <c r="B345" s="529" t="s">
        <v>821</v>
      </c>
      <c r="C345" s="529" t="s">
        <v>21</v>
      </c>
      <c r="D345" s="529" t="str">
        <f>VLOOKUP(A345,Tabela8[[No.]:[Institution**]],9,FALSE)</f>
        <v>FCiências.ID</v>
      </c>
      <c r="E345" s="531" t="s">
        <v>41</v>
      </c>
      <c r="F345" s="529">
        <f>HLOOKUP(C345,'5.Equipments'!$AJ$2:$BC$22,(A345+1),FALSE)</f>
        <v>0</v>
      </c>
      <c r="G345" s="526">
        <f t="shared" si="50"/>
        <v>0</v>
      </c>
      <c r="H345" s="525">
        <f>IFERROR(VLOOKUP($B345,'3.Tasks'!$BK$4:$BO$23,2,FALSE),0)</f>
        <v>0</v>
      </c>
      <c r="I345" s="529">
        <f t="shared" si="53"/>
        <v>0</v>
      </c>
      <c r="J345" s="529">
        <f>IFERROR(VLOOKUP($B345,'3.Tasks'!$BK$4:$BO$23,3,FALSE),0)</f>
        <v>0</v>
      </c>
      <c r="K345" s="532">
        <v>0</v>
      </c>
      <c r="L345" s="529">
        <f>IFERROR(VLOOKUP($B345,'3.Tasks'!$BK$4:$BO$23,4,FALSE),0)</f>
        <v>0</v>
      </c>
      <c r="M345" s="532">
        <v>0</v>
      </c>
      <c r="N345" s="529">
        <f>IFERROR(VLOOKUP($B345,'3.Tasks'!$BK$4:$BO$23,5,FALSE),0)</f>
        <v>0</v>
      </c>
      <c r="O345" s="532">
        <v>0</v>
      </c>
      <c r="P345" s="530">
        <f t="shared" si="51"/>
        <v>0</v>
      </c>
      <c r="AJ345" s="110"/>
      <c r="AK345" s="110"/>
      <c r="AL345" s="110"/>
      <c r="AM345" s="110"/>
      <c r="AN345" s="110"/>
      <c r="AO345" s="110"/>
      <c r="AP345" s="110"/>
      <c r="AQ345" s="110"/>
      <c r="AR345" s="110"/>
      <c r="AS345" s="110"/>
      <c r="AT345" s="110"/>
      <c r="AU345" s="110"/>
      <c r="AV345" s="110"/>
      <c r="AW345" s="110"/>
      <c r="AX345" s="110"/>
      <c r="AY345" s="110"/>
      <c r="AZ345" s="110"/>
      <c r="BA345" s="110"/>
      <c r="BB345" s="110"/>
      <c r="BC345" s="110"/>
      <c r="BD345" s="110"/>
      <c r="BE345" s="110"/>
      <c r="BF345" s="110"/>
      <c r="BG345" s="110"/>
      <c r="BH345" s="110"/>
      <c r="BI345" s="110"/>
      <c r="BJ345" s="110"/>
      <c r="BK345" s="110"/>
      <c r="BL345" s="110"/>
    </row>
    <row r="346" spans="1:64">
      <c r="A346" s="529">
        <f t="shared" si="54"/>
        <v>8</v>
      </c>
      <c r="B346" s="529" t="s">
        <v>822</v>
      </c>
      <c r="C346" s="529" t="s">
        <v>22</v>
      </c>
      <c r="D346" s="529" t="str">
        <f>VLOOKUP(A346,Tabela8[[No.]:[Institution**]],9,FALSE)</f>
        <v>FCiências.ID</v>
      </c>
      <c r="E346" s="531" t="s">
        <v>41</v>
      </c>
      <c r="F346" s="529">
        <f>HLOOKUP(C346,'5.Equipments'!$AJ$2:$BC$22,(A346+1),FALSE)</f>
        <v>0</v>
      </c>
      <c r="G346" s="526">
        <f t="shared" si="50"/>
        <v>0</v>
      </c>
      <c r="H346" s="525">
        <f>IFERROR(VLOOKUP($B346,'3.Tasks'!$BK$4:$BO$23,2,FALSE),0)</f>
        <v>0</v>
      </c>
      <c r="I346" s="529">
        <f t="shared" si="53"/>
        <v>0</v>
      </c>
      <c r="J346" s="529">
        <f>IFERROR(VLOOKUP($B346,'3.Tasks'!$BK$4:$BO$23,3,FALSE),0)</f>
        <v>0</v>
      </c>
      <c r="K346" s="532">
        <v>0</v>
      </c>
      <c r="L346" s="529">
        <f>IFERROR(VLOOKUP($B346,'3.Tasks'!$BK$4:$BO$23,4,FALSE),0)</f>
        <v>0</v>
      </c>
      <c r="M346" s="532">
        <v>0</v>
      </c>
      <c r="N346" s="529">
        <f>IFERROR(VLOOKUP($B346,'3.Tasks'!$BK$4:$BO$23,5,FALSE),0)</f>
        <v>0</v>
      </c>
      <c r="O346" s="532">
        <v>0</v>
      </c>
      <c r="P346" s="530">
        <f t="shared" si="51"/>
        <v>0</v>
      </c>
      <c r="AJ346" s="110"/>
      <c r="AK346" s="110"/>
      <c r="AL346" s="110"/>
      <c r="AM346" s="110"/>
      <c r="AN346" s="110"/>
      <c r="AO346" s="110"/>
      <c r="AP346" s="110"/>
      <c r="AQ346" s="110"/>
      <c r="AR346" s="110"/>
      <c r="AS346" s="110"/>
      <c r="AT346" s="110"/>
      <c r="AU346" s="110"/>
      <c r="AV346" s="110"/>
      <c r="AW346" s="110"/>
      <c r="AX346" s="110"/>
      <c r="AY346" s="110"/>
      <c r="AZ346" s="110"/>
      <c r="BA346" s="110"/>
      <c r="BB346" s="110"/>
      <c r="BC346" s="110"/>
      <c r="BD346" s="110"/>
      <c r="BE346" s="110"/>
      <c r="BF346" s="110"/>
      <c r="BG346" s="110"/>
      <c r="BH346" s="110"/>
      <c r="BI346" s="110"/>
      <c r="BJ346" s="110"/>
      <c r="BK346" s="110"/>
      <c r="BL346" s="110"/>
    </row>
    <row r="347" spans="1:64">
      <c r="A347" s="529">
        <f t="shared" si="54"/>
        <v>8</v>
      </c>
      <c r="B347" s="529" t="s">
        <v>823</v>
      </c>
      <c r="C347" s="529" t="s">
        <v>23</v>
      </c>
      <c r="D347" s="529" t="str">
        <f>VLOOKUP(A347,Tabela8[[No.]:[Institution**]],9,FALSE)</f>
        <v>FCiências.ID</v>
      </c>
      <c r="E347" s="531" t="s">
        <v>41</v>
      </c>
      <c r="F347" s="529">
        <f>HLOOKUP(C347,'5.Equipments'!$AJ$2:$BC$22,(A347+1),FALSE)</f>
        <v>0</v>
      </c>
      <c r="G347" s="526">
        <f t="shared" si="50"/>
        <v>0</v>
      </c>
      <c r="H347" s="525">
        <f>IFERROR(VLOOKUP($B347,'3.Tasks'!$BK$4:$BO$23,2,FALSE),0)</f>
        <v>0</v>
      </c>
      <c r="I347" s="529">
        <f t="shared" si="53"/>
        <v>0</v>
      </c>
      <c r="J347" s="529">
        <f>IFERROR(VLOOKUP($B347,'3.Tasks'!$BK$4:$BO$23,3,FALSE),0)</f>
        <v>0</v>
      </c>
      <c r="K347" s="532">
        <v>0</v>
      </c>
      <c r="L347" s="529">
        <f>IFERROR(VLOOKUP($B347,'3.Tasks'!$BK$4:$BO$23,4,FALSE),0)</f>
        <v>0</v>
      </c>
      <c r="M347" s="532">
        <v>0</v>
      </c>
      <c r="N347" s="529">
        <f>IFERROR(VLOOKUP($B347,'3.Tasks'!$BK$4:$BO$23,5,FALSE),0)</f>
        <v>0</v>
      </c>
      <c r="O347" s="532">
        <v>0</v>
      </c>
      <c r="P347" s="530">
        <f t="shared" si="51"/>
        <v>0</v>
      </c>
      <c r="AJ347" s="110"/>
      <c r="AK347" s="110"/>
      <c r="AL347" s="110"/>
      <c r="AM347" s="110"/>
      <c r="AN347" s="110"/>
      <c r="AO347" s="110"/>
      <c r="AP347" s="110"/>
      <c r="AQ347" s="110"/>
      <c r="AR347" s="110"/>
      <c r="AS347" s="110"/>
      <c r="AT347" s="110"/>
      <c r="AU347" s="110"/>
      <c r="AV347" s="110"/>
      <c r="AW347" s="110"/>
      <c r="AX347" s="110"/>
      <c r="AY347" s="110"/>
      <c r="AZ347" s="110"/>
      <c r="BA347" s="110"/>
      <c r="BB347" s="110"/>
      <c r="BC347" s="110"/>
      <c r="BD347" s="110"/>
      <c r="BE347" s="110"/>
      <c r="BF347" s="110"/>
      <c r="BG347" s="110"/>
      <c r="BH347" s="110"/>
      <c r="BI347" s="110"/>
      <c r="BJ347" s="110"/>
      <c r="BK347" s="110"/>
      <c r="BL347" s="110"/>
    </row>
    <row r="348" spans="1:64">
      <c r="A348" s="529">
        <f t="shared" si="54"/>
        <v>8</v>
      </c>
      <c r="B348" s="529" t="s">
        <v>824</v>
      </c>
      <c r="C348" s="529" t="s">
        <v>24</v>
      </c>
      <c r="D348" s="529" t="str">
        <f>VLOOKUP(A348,Tabela8[[No.]:[Institution**]],9,FALSE)</f>
        <v>FCiências.ID</v>
      </c>
      <c r="E348" s="531" t="s">
        <v>41</v>
      </c>
      <c r="F348" s="529">
        <f>HLOOKUP(C348,'5.Equipments'!$AJ$2:$BC$22,(A348+1),FALSE)</f>
        <v>0</v>
      </c>
      <c r="G348" s="526">
        <f t="shared" si="50"/>
        <v>0</v>
      </c>
      <c r="H348" s="525">
        <f>IFERROR(VLOOKUP($B348,'3.Tasks'!$BK$4:$BO$23,2,FALSE),0)</f>
        <v>0</v>
      </c>
      <c r="I348" s="529">
        <f t="shared" si="53"/>
        <v>0</v>
      </c>
      <c r="J348" s="529">
        <f>IFERROR(VLOOKUP($B348,'3.Tasks'!$BK$4:$BO$23,3,FALSE),0)</f>
        <v>0</v>
      </c>
      <c r="K348" s="532">
        <v>0</v>
      </c>
      <c r="L348" s="529">
        <f>IFERROR(VLOOKUP($B348,'3.Tasks'!$BK$4:$BO$23,4,FALSE),0)</f>
        <v>0</v>
      </c>
      <c r="M348" s="532">
        <v>0</v>
      </c>
      <c r="N348" s="529">
        <f>IFERROR(VLOOKUP($B348,'3.Tasks'!$BK$4:$BO$23,5,FALSE),0)</f>
        <v>0</v>
      </c>
      <c r="O348" s="532">
        <v>0</v>
      </c>
      <c r="P348" s="530">
        <f t="shared" si="51"/>
        <v>0</v>
      </c>
      <c r="AJ348" s="110"/>
      <c r="AK348" s="110"/>
      <c r="AL348" s="110"/>
      <c r="AM348" s="110"/>
      <c r="AN348" s="110"/>
      <c r="AO348" s="110"/>
      <c r="AP348" s="110"/>
      <c r="AQ348" s="110"/>
      <c r="AR348" s="110"/>
      <c r="AS348" s="110"/>
      <c r="AT348" s="110"/>
      <c r="AU348" s="110"/>
      <c r="AV348" s="110"/>
      <c r="AW348" s="110"/>
      <c r="AX348" s="110"/>
      <c r="AY348" s="110"/>
      <c r="AZ348" s="110"/>
      <c r="BA348" s="110"/>
      <c r="BB348" s="110"/>
      <c r="BC348" s="110"/>
      <c r="BD348" s="110"/>
      <c r="BE348" s="110"/>
      <c r="BF348" s="110"/>
      <c r="BG348" s="110"/>
      <c r="BH348" s="110"/>
      <c r="BI348" s="110"/>
      <c r="BJ348" s="110"/>
      <c r="BK348" s="110"/>
      <c r="BL348" s="110"/>
    </row>
    <row r="349" spans="1:64">
      <c r="A349" s="529">
        <f t="shared" si="54"/>
        <v>8</v>
      </c>
      <c r="B349" s="529" t="s">
        <v>825</v>
      </c>
      <c r="C349" s="529" t="s">
        <v>25</v>
      </c>
      <c r="D349" s="529" t="str">
        <f>VLOOKUP(A349,Tabela8[[No.]:[Institution**]],9,FALSE)</f>
        <v>FCiências.ID</v>
      </c>
      <c r="E349" s="531" t="s">
        <v>41</v>
      </c>
      <c r="F349" s="529">
        <f>HLOOKUP(C349,'5.Equipments'!$AJ$2:$BC$22,(A349+1),FALSE)</f>
        <v>0</v>
      </c>
      <c r="G349" s="526">
        <f t="shared" si="50"/>
        <v>0</v>
      </c>
      <c r="H349" s="525">
        <f>IFERROR(VLOOKUP($B349,'3.Tasks'!$BK$4:$BO$23,2,FALSE),0)</f>
        <v>0</v>
      </c>
      <c r="I349" s="529">
        <f t="shared" si="53"/>
        <v>0</v>
      </c>
      <c r="J349" s="529">
        <f>IFERROR(VLOOKUP($B349,'3.Tasks'!$BK$4:$BO$23,3,FALSE),0)</f>
        <v>0</v>
      </c>
      <c r="K349" s="532">
        <v>0</v>
      </c>
      <c r="L349" s="529">
        <f>IFERROR(VLOOKUP($B349,'3.Tasks'!$BK$4:$BO$23,4,FALSE),0)</f>
        <v>0</v>
      </c>
      <c r="M349" s="532">
        <v>0</v>
      </c>
      <c r="N349" s="529">
        <f>IFERROR(VLOOKUP($B349,'3.Tasks'!$BK$4:$BO$23,5,FALSE),0)</f>
        <v>0</v>
      </c>
      <c r="O349" s="532">
        <v>0</v>
      </c>
      <c r="P349" s="530">
        <f t="shared" si="51"/>
        <v>0</v>
      </c>
      <c r="AJ349" s="110"/>
      <c r="AK349" s="110"/>
      <c r="AL349" s="110"/>
      <c r="AM349" s="110"/>
      <c r="AN349" s="110"/>
      <c r="AO349" s="110"/>
      <c r="AP349" s="110"/>
      <c r="AQ349" s="110"/>
      <c r="AR349" s="110"/>
      <c r="AS349" s="110"/>
      <c r="AT349" s="110"/>
      <c r="AU349" s="110"/>
      <c r="AV349" s="110"/>
      <c r="AW349" s="110"/>
      <c r="AX349" s="110"/>
      <c r="AY349" s="110"/>
      <c r="AZ349" s="110"/>
      <c r="BA349" s="110"/>
      <c r="BB349" s="110"/>
      <c r="BC349" s="110"/>
      <c r="BD349" s="110"/>
      <c r="BE349" s="110"/>
      <c r="BF349" s="110"/>
      <c r="BG349" s="110"/>
      <c r="BH349" s="110"/>
      <c r="BI349" s="110"/>
      <c r="BJ349" s="110"/>
      <c r="BK349" s="110"/>
      <c r="BL349" s="110"/>
    </row>
    <row r="350" spans="1:64">
      <c r="A350" s="529">
        <f t="shared" si="54"/>
        <v>8</v>
      </c>
      <c r="B350" s="529" t="s">
        <v>826</v>
      </c>
      <c r="C350" s="529" t="s">
        <v>26</v>
      </c>
      <c r="D350" s="529" t="str">
        <f>VLOOKUP(A350,Tabela8[[No.]:[Institution**]],9,FALSE)</f>
        <v>FCiências.ID</v>
      </c>
      <c r="E350" s="531" t="s">
        <v>41</v>
      </c>
      <c r="F350" s="529">
        <f>HLOOKUP(C350,'5.Equipments'!$AJ$2:$BC$22,(A350+1),FALSE)</f>
        <v>0</v>
      </c>
      <c r="G350" s="526">
        <f t="shared" si="50"/>
        <v>0</v>
      </c>
      <c r="H350" s="525">
        <f>IFERROR(VLOOKUP($B350,'3.Tasks'!$BK$4:$BO$23,2,FALSE),0)</f>
        <v>0</v>
      </c>
      <c r="I350" s="529">
        <f t="shared" si="53"/>
        <v>0</v>
      </c>
      <c r="J350" s="529">
        <f>IFERROR(VLOOKUP($B350,'3.Tasks'!$BK$4:$BO$23,3,FALSE),0)</f>
        <v>0</v>
      </c>
      <c r="K350" s="532">
        <v>0</v>
      </c>
      <c r="L350" s="529">
        <f>IFERROR(VLOOKUP($B350,'3.Tasks'!$BK$4:$BO$23,4,FALSE),0)</f>
        <v>0</v>
      </c>
      <c r="M350" s="532">
        <v>0</v>
      </c>
      <c r="N350" s="529">
        <f>IFERROR(VLOOKUP($B350,'3.Tasks'!$BK$4:$BO$23,5,FALSE),0)</f>
        <v>0</v>
      </c>
      <c r="O350" s="532">
        <v>0</v>
      </c>
      <c r="P350" s="530">
        <f t="shared" si="51"/>
        <v>0</v>
      </c>
      <c r="AJ350" s="110"/>
      <c r="AK350" s="110"/>
      <c r="AL350" s="110"/>
      <c r="AM350" s="110"/>
      <c r="AN350" s="110"/>
      <c r="AO350" s="110"/>
      <c r="AP350" s="110"/>
      <c r="AQ350" s="110"/>
      <c r="AR350" s="110"/>
      <c r="AS350" s="110"/>
      <c r="AT350" s="110"/>
      <c r="AU350" s="110"/>
      <c r="AV350" s="110"/>
      <c r="AW350" s="110"/>
      <c r="AX350" s="110"/>
      <c r="AY350" s="110"/>
      <c r="AZ350" s="110"/>
      <c r="BA350" s="110"/>
      <c r="BB350" s="110"/>
      <c r="BC350" s="110"/>
      <c r="BD350" s="110"/>
      <c r="BE350" s="110"/>
      <c r="BF350" s="110"/>
      <c r="BG350" s="110"/>
      <c r="BH350" s="110"/>
      <c r="BI350" s="110"/>
      <c r="BJ350" s="110"/>
      <c r="BK350" s="110"/>
      <c r="BL350" s="110"/>
    </row>
    <row r="351" spans="1:64">
      <c r="A351" s="529">
        <f t="shared" si="54"/>
        <v>8</v>
      </c>
      <c r="B351" s="529" t="s">
        <v>827</v>
      </c>
      <c r="C351" s="529" t="s">
        <v>27</v>
      </c>
      <c r="D351" s="529" t="str">
        <f>VLOOKUP(A351,Tabela8[[No.]:[Institution**]],9,FALSE)</f>
        <v>FCiências.ID</v>
      </c>
      <c r="E351" s="531" t="s">
        <v>41</v>
      </c>
      <c r="F351" s="529">
        <f>HLOOKUP(C351,'5.Equipments'!$AJ$2:$BC$22,(A351+1),FALSE)</f>
        <v>0</v>
      </c>
      <c r="G351" s="526">
        <f t="shared" si="50"/>
        <v>0</v>
      </c>
      <c r="H351" s="525">
        <f>IFERROR(VLOOKUP($B351,'3.Tasks'!$BK$4:$BO$23,2,FALSE),0)</f>
        <v>0</v>
      </c>
      <c r="I351" s="529">
        <f t="shared" si="53"/>
        <v>0</v>
      </c>
      <c r="J351" s="529">
        <f>IFERROR(VLOOKUP($B351,'3.Tasks'!$BK$4:$BO$23,3,FALSE),0)</f>
        <v>0</v>
      </c>
      <c r="K351" s="532">
        <v>0</v>
      </c>
      <c r="L351" s="529">
        <f>IFERROR(VLOOKUP($B351,'3.Tasks'!$BK$4:$BO$23,4,FALSE),0)</f>
        <v>0</v>
      </c>
      <c r="M351" s="532">
        <v>0</v>
      </c>
      <c r="N351" s="529">
        <f>IFERROR(VLOOKUP($B351,'3.Tasks'!$BK$4:$BO$23,5,FALSE),0)</f>
        <v>0</v>
      </c>
      <c r="O351" s="532">
        <v>0</v>
      </c>
      <c r="P351" s="530">
        <f t="shared" si="51"/>
        <v>0</v>
      </c>
      <c r="AJ351" s="110"/>
      <c r="AK351" s="110"/>
      <c r="AL351" s="110"/>
      <c r="AM351" s="110"/>
      <c r="AN351" s="110"/>
      <c r="AO351" s="110"/>
      <c r="AP351" s="110"/>
      <c r="AQ351" s="110"/>
      <c r="AR351" s="110"/>
      <c r="AS351" s="110"/>
      <c r="AT351" s="110"/>
      <c r="AU351" s="110"/>
      <c r="AV351" s="110"/>
      <c r="AW351" s="110"/>
      <c r="AX351" s="110"/>
      <c r="AY351" s="110"/>
      <c r="AZ351" s="110"/>
      <c r="BA351" s="110"/>
      <c r="BB351" s="110"/>
      <c r="BC351" s="110"/>
      <c r="BD351" s="110"/>
      <c r="BE351" s="110"/>
      <c r="BF351" s="110"/>
      <c r="BG351" s="110"/>
      <c r="BH351" s="110"/>
      <c r="BI351" s="110"/>
      <c r="BJ351" s="110"/>
      <c r="BK351" s="110"/>
      <c r="BL351" s="110"/>
    </row>
    <row r="352" spans="1:64">
      <c r="A352" s="529">
        <f t="shared" si="54"/>
        <v>8</v>
      </c>
      <c r="B352" s="529" t="s">
        <v>828</v>
      </c>
      <c r="C352" s="529" t="s">
        <v>28</v>
      </c>
      <c r="D352" s="529" t="str">
        <f>VLOOKUP(A352,Tabela8[[No.]:[Institution**]],9,FALSE)</f>
        <v>FCiências.ID</v>
      </c>
      <c r="E352" s="531" t="s">
        <v>41</v>
      </c>
      <c r="F352" s="529">
        <f>HLOOKUP(C352,'5.Equipments'!$AJ$2:$BC$22,(A352+1),FALSE)</f>
        <v>0</v>
      </c>
      <c r="G352" s="526">
        <f t="shared" si="50"/>
        <v>0</v>
      </c>
      <c r="H352" s="525">
        <f>IFERROR(VLOOKUP($B352,'3.Tasks'!$BK$4:$BO$23,2,FALSE),0)</f>
        <v>0</v>
      </c>
      <c r="I352" s="529">
        <f t="shared" si="53"/>
        <v>0</v>
      </c>
      <c r="J352" s="529">
        <f>IFERROR(VLOOKUP($B352,'3.Tasks'!$BK$4:$BO$23,3,FALSE),0)</f>
        <v>0</v>
      </c>
      <c r="K352" s="532">
        <v>0</v>
      </c>
      <c r="L352" s="529">
        <f>IFERROR(VLOOKUP($B352,'3.Tasks'!$BK$4:$BO$23,4,FALSE),0)</f>
        <v>0</v>
      </c>
      <c r="M352" s="532">
        <v>0</v>
      </c>
      <c r="N352" s="529">
        <f>IFERROR(VLOOKUP($B352,'3.Tasks'!$BK$4:$BO$23,5,FALSE),0)</f>
        <v>0</v>
      </c>
      <c r="O352" s="532">
        <v>0</v>
      </c>
      <c r="P352" s="530">
        <f t="shared" si="51"/>
        <v>0</v>
      </c>
      <c r="AJ352" s="110"/>
      <c r="AK352" s="110"/>
      <c r="AL352" s="110"/>
      <c r="AM352" s="110"/>
      <c r="AN352" s="110"/>
      <c r="AO352" s="110"/>
      <c r="AP352" s="110"/>
      <c r="AQ352" s="110"/>
      <c r="AR352" s="110"/>
      <c r="AS352" s="110"/>
      <c r="AT352" s="110"/>
      <c r="AU352" s="110"/>
      <c r="AV352" s="110"/>
      <c r="AW352" s="110"/>
      <c r="AX352" s="110"/>
      <c r="AY352" s="110"/>
      <c r="AZ352" s="110"/>
      <c r="BA352" s="110"/>
      <c r="BB352" s="110"/>
      <c r="BC352" s="110"/>
      <c r="BD352" s="110"/>
      <c r="BE352" s="110"/>
      <c r="BF352" s="110"/>
      <c r="BG352" s="110"/>
      <c r="BH352" s="110"/>
      <c r="BI352" s="110"/>
      <c r="BJ352" s="110"/>
      <c r="BK352" s="110"/>
      <c r="BL352" s="110"/>
    </row>
    <row r="353" spans="1:64">
      <c r="A353" s="529">
        <f t="shared" si="54"/>
        <v>8</v>
      </c>
      <c r="B353" s="529" t="s">
        <v>829</v>
      </c>
      <c r="C353" s="529" t="s">
        <v>29</v>
      </c>
      <c r="D353" s="529" t="str">
        <f>VLOOKUP(A353,Tabela8[[No.]:[Institution**]],9,FALSE)</f>
        <v>FCiências.ID</v>
      </c>
      <c r="E353" s="531" t="s">
        <v>41</v>
      </c>
      <c r="F353" s="529">
        <f>HLOOKUP(C353,'5.Equipments'!$AJ$2:$BC$22,(A353+1),FALSE)</f>
        <v>0</v>
      </c>
      <c r="G353" s="526">
        <f t="shared" si="50"/>
        <v>0</v>
      </c>
      <c r="H353" s="525">
        <f>IFERROR(VLOOKUP($B353,'3.Tasks'!$BK$4:$BO$23,2,FALSE),0)</f>
        <v>0</v>
      </c>
      <c r="I353" s="529">
        <f t="shared" si="53"/>
        <v>0</v>
      </c>
      <c r="J353" s="529">
        <f>IFERROR(VLOOKUP($B353,'3.Tasks'!$BK$4:$BO$23,3,FALSE),0)</f>
        <v>0</v>
      </c>
      <c r="K353" s="532">
        <v>0</v>
      </c>
      <c r="L353" s="529">
        <f>IFERROR(VLOOKUP($B353,'3.Tasks'!$BK$4:$BO$23,4,FALSE),0)</f>
        <v>0</v>
      </c>
      <c r="M353" s="532">
        <v>0</v>
      </c>
      <c r="N353" s="529">
        <f>IFERROR(VLOOKUP($B353,'3.Tasks'!$BK$4:$BO$23,5,FALSE),0)</f>
        <v>0</v>
      </c>
      <c r="O353" s="532">
        <v>0</v>
      </c>
      <c r="P353" s="530">
        <f t="shared" si="51"/>
        <v>0</v>
      </c>
      <c r="AJ353" s="110"/>
      <c r="AK353" s="110"/>
      <c r="AL353" s="110"/>
      <c r="AM353" s="110"/>
      <c r="AN353" s="110"/>
      <c r="AO353" s="110"/>
      <c r="AP353" s="110"/>
      <c r="AQ353" s="110"/>
      <c r="AR353" s="110"/>
      <c r="AS353" s="110"/>
      <c r="AT353" s="110"/>
      <c r="AU353" s="110"/>
      <c r="AV353" s="110"/>
      <c r="AW353" s="110"/>
      <c r="AX353" s="110"/>
      <c r="AY353" s="110"/>
      <c r="AZ353" s="110"/>
      <c r="BA353" s="110"/>
      <c r="BB353" s="110"/>
      <c r="BC353" s="110"/>
      <c r="BD353" s="110"/>
      <c r="BE353" s="110"/>
      <c r="BF353" s="110"/>
      <c r="BG353" s="110"/>
      <c r="BH353" s="110"/>
      <c r="BI353" s="110"/>
      <c r="BJ353" s="110"/>
      <c r="BK353" s="110"/>
      <c r="BL353" s="110"/>
    </row>
    <row r="354" spans="1:64">
      <c r="A354" s="529">
        <f t="shared" si="54"/>
        <v>8</v>
      </c>
      <c r="B354" s="529" t="s">
        <v>830</v>
      </c>
      <c r="C354" s="529" t="s">
        <v>30</v>
      </c>
      <c r="D354" s="529" t="str">
        <f>VLOOKUP(A354,Tabela8[[No.]:[Institution**]],9,FALSE)</f>
        <v>FCiências.ID</v>
      </c>
      <c r="E354" s="531" t="s">
        <v>41</v>
      </c>
      <c r="F354" s="529">
        <f>HLOOKUP(C354,'5.Equipments'!$AJ$2:$BC$22,(A354+1),FALSE)</f>
        <v>0</v>
      </c>
      <c r="G354" s="526">
        <f t="shared" si="50"/>
        <v>0</v>
      </c>
      <c r="H354" s="525">
        <f>IFERROR(VLOOKUP($B354,'3.Tasks'!$BK$4:$BO$23,2,FALSE),0)</f>
        <v>0</v>
      </c>
      <c r="I354" s="529">
        <f t="shared" si="53"/>
        <v>0</v>
      </c>
      <c r="J354" s="529">
        <f>IFERROR(VLOOKUP($B354,'3.Tasks'!$BK$4:$BO$23,3,FALSE),0)</f>
        <v>0</v>
      </c>
      <c r="K354" s="532">
        <v>0</v>
      </c>
      <c r="L354" s="529">
        <f>IFERROR(VLOOKUP($B354,'3.Tasks'!$BK$4:$BO$23,4,FALSE),0)</f>
        <v>0</v>
      </c>
      <c r="M354" s="532">
        <v>0</v>
      </c>
      <c r="N354" s="529">
        <f>IFERROR(VLOOKUP($B354,'3.Tasks'!$BK$4:$BO$23,5,FALSE),0)</f>
        <v>0</v>
      </c>
      <c r="O354" s="532">
        <v>0</v>
      </c>
      <c r="P354" s="530">
        <f t="shared" si="51"/>
        <v>0</v>
      </c>
      <c r="AJ354" s="110"/>
      <c r="AK354" s="110"/>
      <c r="AL354" s="110"/>
      <c r="AM354" s="110"/>
      <c r="AN354" s="110"/>
      <c r="AO354" s="110"/>
      <c r="AP354" s="110"/>
      <c r="AQ354" s="110"/>
      <c r="AR354" s="110"/>
      <c r="AS354" s="110"/>
      <c r="AT354" s="110"/>
      <c r="AU354" s="110"/>
      <c r="AV354" s="110"/>
      <c r="AW354" s="110"/>
      <c r="AX354" s="110"/>
      <c r="AY354" s="110"/>
      <c r="AZ354" s="110"/>
      <c r="BA354" s="110"/>
      <c r="BB354" s="110"/>
      <c r="BC354" s="110"/>
      <c r="BD354" s="110"/>
      <c r="BE354" s="110"/>
      <c r="BF354" s="110"/>
      <c r="BG354" s="110"/>
      <c r="BH354" s="110"/>
      <c r="BI354" s="110"/>
      <c r="BJ354" s="110"/>
      <c r="BK354" s="110"/>
      <c r="BL354" s="110"/>
    </row>
    <row r="355" spans="1:64">
      <c r="A355" s="529">
        <f t="shared" si="54"/>
        <v>8</v>
      </c>
      <c r="B355" s="529" t="s">
        <v>831</v>
      </c>
      <c r="C355" s="529" t="s">
        <v>31</v>
      </c>
      <c r="D355" s="529" t="str">
        <f>VLOOKUP(A355,Tabela8[[No.]:[Institution**]],9,FALSE)</f>
        <v>FCiências.ID</v>
      </c>
      <c r="E355" s="531" t="s">
        <v>41</v>
      </c>
      <c r="F355" s="529">
        <f>HLOOKUP(C355,'5.Equipments'!$AJ$2:$BC$22,(A355+1),FALSE)</f>
        <v>0</v>
      </c>
      <c r="G355" s="526">
        <f t="shared" si="50"/>
        <v>0</v>
      </c>
      <c r="H355" s="525">
        <f>IFERROR(VLOOKUP($B355,'3.Tasks'!$BK$4:$BO$23,2,FALSE),0)</f>
        <v>0</v>
      </c>
      <c r="I355" s="529">
        <f t="shared" si="53"/>
        <v>0</v>
      </c>
      <c r="J355" s="529">
        <f>IFERROR(VLOOKUP($B355,'3.Tasks'!$BK$4:$BO$23,3,FALSE),0)</f>
        <v>0</v>
      </c>
      <c r="K355" s="532">
        <v>0</v>
      </c>
      <c r="L355" s="529">
        <f>IFERROR(VLOOKUP($B355,'3.Tasks'!$BK$4:$BO$23,4,FALSE),0)</f>
        <v>0</v>
      </c>
      <c r="M355" s="532">
        <v>0</v>
      </c>
      <c r="N355" s="529">
        <f>IFERROR(VLOOKUP($B355,'3.Tasks'!$BK$4:$BO$23,5,FALSE),0)</f>
        <v>0</v>
      </c>
      <c r="O355" s="532">
        <v>0</v>
      </c>
      <c r="P355" s="530">
        <f t="shared" si="51"/>
        <v>0</v>
      </c>
      <c r="AJ355" s="110"/>
      <c r="AK355" s="110"/>
      <c r="AL355" s="110"/>
      <c r="AM355" s="110"/>
      <c r="AN355" s="110"/>
      <c r="AO355" s="110"/>
      <c r="AP355" s="110"/>
      <c r="AQ355" s="110"/>
      <c r="AR355" s="110"/>
      <c r="AS355" s="110"/>
      <c r="AT355" s="110"/>
      <c r="AU355" s="110"/>
      <c r="AV355" s="110"/>
      <c r="AW355" s="110"/>
      <c r="AX355" s="110"/>
      <c r="AY355" s="110"/>
      <c r="AZ355" s="110"/>
      <c r="BA355" s="110"/>
      <c r="BB355" s="110"/>
      <c r="BC355" s="110"/>
      <c r="BD355" s="110"/>
      <c r="BE355" s="110"/>
      <c r="BF355" s="110"/>
      <c r="BG355" s="110"/>
      <c r="BH355" s="110"/>
      <c r="BI355" s="110"/>
      <c r="BJ355" s="110"/>
      <c r="BK355" s="110"/>
      <c r="BL355" s="110"/>
    </row>
    <row r="356" spans="1:64">
      <c r="A356" s="529">
        <f t="shared" si="54"/>
        <v>8</v>
      </c>
      <c r="B356" s="529" t="s">
        <v>832</v>
      </c>
      <c r="C356" s="529" t="s">
        <v>32</v>
      </c>
      <c r="D356" s="529" t="str">
        <f>VLOOKUP(A356,Tabela8[[No.]:[Institution**]],9,FALSE)</f>
        <v>FCiências.ID</v>
      </c>
      <c r="E356" s="531" t="s">
        <v>41</v>
      </c>
      <c r="F356" s="529">
        <f>HLOOKUP(C356,'5.Equipments'!$AJ$2:$BC$22,(A356+1),FALSE)</f>
        <v>0</v>
      </c>
      <c r="G356" s="526">
        <f t="shared" si="50"/>
        <v>0</v>
      </c>
      <c r="H356" s="525">
        <f>IFERROR(VLOOKUP($B356,'3.Tasks'!$BK$4:$BO$23,2,FALSE),0)</f>
        <v>0</v>
      </c>
      <c r="I356" s="529">
        <f t="shared" si="53"/>
        <v>0</v>
      </c>
      <c r="J356" s="529">
        <f>IFERROR(VLOOKUP($B356,'3.Tasks'!$BK$4:$BO$23,3,FALSE),0)</f>
        <v>0</v>
      </c>
      <c r="K356" s="532">
        <v>0</v>
      </c>
      <c r="L356" s="529">
        <f>IFERROR(VLOOKUP($B356,'3.Tasks'!$BK$4:$BO$23,4,FALSE),0)</f>
        <v>0</v>
      </c>
      <c r="M356" s="532">
        <v>0</v>
      </c>
      <c r="N356" s="529">
        <f>IFERROR(VLOOKUP($B356,'3.Tasks'!$BK$4:$BO$23,5,FALSE),0)</f>
        <v>0</v>
      </c>
      <c r="O356" s="532">
        <v>0</v>
      </c>
      <c r="P356" s="530">
        <f t="shared" si="51"/>
        <v>0</v>
      </c>
      <c r="AJ356" s="110"/>
      <c r="AK356" s="110"/>
      <c r="AL356" s="110"/>
      <c r="AM356" s="110"/>
      <c r="AN356" s="110"/>
      <c r="AO356" s="110"/>
      <c r="AP356" s="110"/>
      <c r="AQ356" s="110"/>
      <c r="AR356" s="110"/>
      <c r="AS356" s="110"/>
      <c r="AT356" s="110"/>
      <c r="AU356" s="110"/>
      <c r="AV356" s="110"/>
      <c r="AW356" s="110"/>
      <c r="AX356" s="110"/>
      <c r="AY356" s="110"/>
      <c r="AZ356" s="110"/>
      <c r="BA356" s="110"/>
      <c r="BB356" s="110"/>
      <c r="BC356" s="110"/>
      <c r="BD356" s="110"/>
      <c r="BE356" s="110"/>
      <c r="BF356" s="110"/>
      <c r="BG356" s="110"/>
      <c r="BH356" s="110"/>
      <c r="BI356" s="110"/>
      <c r="BJ356" s="110"/>
      <c r="BK356" s="110"/>
      <c r="BL356" s="110"/>
    </row>
    <row r="357" spans="1:64">
      <c r="A357" s="529">
        <f t="shared" si="54"/>
        <v>8</v>
      </c>
      <c r="B357" s="529" t="s">
        <v>833</v>
      </c>
      <c r="C357" s="529" t="s">
        <v>33</v>
      </c>
      <c r="D357" s="529" t="str">
        <f>VLOOKUP(A357,Tabela8[[No.]:[Institution**]],9,FALSE)</f>
        <v>FCiências.ID</v>
      </c>
      <c r="E357" s="531" t="s">
        <v>41</v>
      </c>
      <c r="F357" s="529">
        <f>HLOOKUP(C357,'5.Equipments'!$AJ$2:$BC$22,(A357+1),FALSE)</f>
        <v>0</v>
      </c>
      <c r="G357" s="526">
        <f t="shared" si="50"/>
        <v>0</v>
      </c>
      <c r="H357" s="525">
        <f>IFERROR(VLOOKUP($B357,'3.Tasks'!$BK$4:$BO$23,2,FALSE),0)</f>
        <v>0</v>
      </c>
      <c r="I357" s="529">
        <f t="shared" si="53"/>
        <v>0</v>
      </c>
      <c r="J357" s="529">
        <f>IFERROR(VLOOKUP($B357,'3.Tasks'!$BK$4:$BO$23,3,FALSE),0)</f>
        <v>0</v>
      </c>
      <c r="K357" s="532">
        <v>0</v>
      </c>
      <c r="L357" s="529">
        <f>IFERROR(VLOOKUP($B357,'3.Tasks'!$BK$4:$BO$23,4,FALSE),0)</f>
        <v>0</v>
      </c>
      <c r="M357" s="532">
        <v>0</v>
      </c>
      <c r="N357" s="529">
        <f>IFERROR(VLOOKUP($B357,'3.Tasks'!$BK$4:$BO$23,5,FALSE),0)</f>
        <v>0</v>
      </c>
      <c r="O357" s="532">
        <v>0</v>
      </c>
      <c r="P357" s="530">
        <f t="shared" si="51"/>
        <v>0</v>
      </c>
      <c r="AJ357" s="110"/>
      <c r="AK357" s="110"/>
      <c r="AL357" s="110"/>
      <c r="AM357" s="110"/>
      <c r="AN357" s="110"/>
      <c r="AO357" s="110"/>
      <c r="AP357" s="110"/>
      <c r="AQ357" s="110"/>
      <c r="AR357" s="110"/>
      <c r="AS357" s="110"/>
      <c r="AT357" s="110"/>
      <c r="AU357" s="110"/>
      <c r="AV357" s="110"/>
      <c r="AW357" s="110"/>
      <c r="AX357" s="110"/>
      <c r="AY357" s="110"/>
      <c r="AZ357" s="110"/>
      <c r="BA357" s="110"/>
      <c r="BB357" s="110"/>
      <c r="BC357" s="110"/>
      <c r="BD357" s="110"/>
      <c r="BE357" s="110"/>
      <c r="BF357" s="110"/>
      <c r="BG357" s="110"/>
      <c r="BH357" s="110"/>
      <c r="BI357" s="110"/>
      <c r="BJ357" s="110"/>
      <c r="BK357" s="110"/>
      <c r="BL357" s="110"/>
    </row>
    <row r="358" spans="1:64">
      <c r="A358" s="529">
        <f t="shared" si="54"/>
        <v>8</v>
      </c>
      <c r="B358" s="529" t="s">
        <v>834</v>
      </c>
      <c r="C358" s="529" t="s">
        <v>34</v>
      </c>
      <c r="D358" s="529" t="str">
        <f>VLOOKUP(A358,Tabela8[[No.]:[Institution**]],9,FALSE)</f>
        <v>FCiências.ID</v>
      </c>
      <c r="E358" s="531" t="s">
        <v>41</v>
      </c>
      <c r="F358" s="529">
        <f>HLOOKUP(C358,'5.Equipments'!$AJ$2:$BC$22,(A358+1),FALSE)</f>
        <v>0</v>
      </c>
      <c r="G358" s="526">
        <f t="shared" si="50"/>
        <v>0</v>
      </c>
      <c r="H358" s="525">
        <f>IFERROR(VLOOKUP($B358,'3.Tasks'!$BK$4:$BO$23,2,FALSE),0)</f>
        <v>0</v>
      </c>
      <c r="I358" s="529">
        <f t="shared" si="53"/>
        <v>0</v>
      </c>
      <c r="J358" s="529">
        <f>IFERROR(VLOOKUP($B358,'3.Tasks'!$BK$4:$BO$23,3,FALSE),0)</f>
        <v>0</v>
      </c>
      <c r="K358" s="532">
        <v>0</v>
      </c>
      <c r="L358" s="529">
        <f>IFERROR(VLOOKUP($B358,'3.Tasks'!$BK$4:$BO$23,4,FALSE),0)</f>
        <v>0</v>
      </c>
      <c r="M358" s="532">
        <v>0</v>
      </c>
      <c r="N358" s="529">
        <f>IFERROR(VLOOKUP($B358,'3.Tasks'!$BK$4:$BO$23,5,FALSE),0)</f>
        <v>0</v>
      </c>
      <c r="O358" s="532">
        <v>0</v>
      </c>
      <c r="P358" s="530">
        <f t="shared" si="51"/>
        <v>0</v>
      </c>
      <c r="AJ358" s="110"/>
      <c r="AK358" s="110"/>
      <c r="AL358" s="110"/>
      <c r="AM358" s="110"/>
      <c r="AN358" s="110"/>
      <c r="AO358" s="110"/>
      <c r="AP358" s="110"/>
      <c r="AQ358" s="110"/>
      <c r="AR358" s="110"/>
      <c r="AS358" s="110"/>
      <c r="AT358" s="110"/>
      <c r="AU358" s="110"/>
      <c r="AV358" s="110"/>
      <c r="AW358" s="110"/>
      <c r="AX358" s="110"/>
      <c r="AY358" s="110"/>
      <c r="AZ358" s="110"/>
      <c r="BA358" s="110"/>
      <c r="BB358" s="110"/>
      <c r="BC358" s="110"/>
      <c r="BD358" s="110"/>
      <c r="BE358" s="110"/>
      <c r="BF358" s="110"/>
      <c r="BG358" s="110"/>
      <c r="BH358" s="110"/>
      <c r="BI358" s="110"/>
      <c r="BJ358" s="110"/>
      <c r="BK358" s="110"/>
      <c r="BL358" s="110"/>
    </row>
    <row r="359" spans="1:64">
      <c r="A359" s="529">
        <f t="shared" si="54"/>
        <v>8</v>
      </c>
      <c r="B359" s="529" t="s">
        <v>835</v>
      </c>
      <c r="C359" s="529" t="s">
        <v>35</v>
      </c>
      <c r="D359" s="529" t="str">
        <f>VLOOKUP(A359,Tabela8[[No.]:[Institution**]],9,FALSE)</f>
        <v>FCiências.ID</v>
      </c>
      <c r="E359" s="531" t="s">
        <v>41</v>
      </c>
      <c r="F359" s="529">
        <f>HLOOKUP(C359,'5.Equipments'!$AJ$2:$BC$22,(A359+1),FALSE)</f>
        <v>0</v>
      </c>
      <c r="G359" s="526">
        <f t="shared" si="50"/>
        <v>0</v>
      </c>
      <c r="H359" s="525">
        <f>IFERROR(VLOOKUP($B359,'3.Tasks'!$BK$4:$BO$23,2,FALSE),0)</f>
        <v>0</v>
      </c>
      <c r="I359" s="529">
        <f t="shared" si="53"/>
        <v>0</v>
      </c>
      <c r="J359" s="529">
        <f>IFERROR(VLOOKUP($B359,'3.Tasks'!$BK$4:$BO$23,3,FALSE),0)</f>
        <v>0</v>
      </c>
      <c r="K359" s="532">
        <v>0</v>
      </c>
      <c r="L359" s="529">
        <f>IFERROR(VLOOKUP($B359,'3.Tasks'!$BK$4:$BO$23,4,FALSE),0)</f>
        <v>0</v>
      </c>
      <c r="M359" s="532">
        <v>0</v>
      </c>
      <c r="N359" s="529">
        <f>IFERROR(VLOOKUP($B359,'3.Tasks'!$BK$4:$BO$23,5,FALSE),0)</f>
        <v>0</v>
      </c>
      <c r="O359" s="532">
        <v>0</v>
      </c>
      <c r="P359" s="530">
        <f t="shared" si="51"/>
        <v>0</v>
      </c>
      <c r="AJ359" s="110"/>
      <c r="AK359" s="110"/>
      <c r="AL359" s="110"/>
      <c r="AM359" s="110"/>
      <c r="AN359" s="110"/>
      <c r="AO359" s="110"/>
      <c r="AP359" s="110"/>
      <c r="AQ359" s="110"/>
      <c r="AR359" s="110"/>
      <c r="AS359" s="110"/>
      <c r="AT359" s="110"/>
      <c r="AU359" s="110"/>
      <c r="AV359" s="110"/>
      <c r="AW359" s="110"/>
      <c r="AX359" s="110"/>
      <c r="AY359" s="110"/>
      <c r="AZ359" s="110"/>
      <c r="BA359" s="110"/>
      <c r="BB359" s="110"/>
      <c r="BC359" s="110"/>
      <c r="BD359" s="110"/>
      <c r="BE359" s="110"/>
      <c r="BF359" s="110"/>
      <c r="BG359" s="110"/>
      <c r="BH359" s="110"/>
      <c r="BI359" s="110"/>
      <c r="BJ359" s="110"/>
      <c r="BK359" s="110"/>
      <c r="BL359" s="110"/>
    </row>
    <row r="360" spans="1:64">
      <c r="A360" s="529">
        <f t="shared" si="54"/>
        <v>8</v>
      </c>
      <c r="B360" s="529" t="s">
        <v>836</v>
      </c>
      <c r="C360" s="529" t="s">
        <v>36</v>
      </c>
      <c r="D360" s="529" t="str">
        <f>VLOOKUP(A360,Tabela8[[No.]:[Institution**]],9,FALSE)</f>
        <v>FCiências.ID</v>
      </c>
      <c r="E360" s="531" t="s">
        <v>41</v>
      </c>
      <c r="F360" s="529">
        <f>HLOOKUP(C360,'5.Equipments'!$AJ$2:$BC$22,(A360+1),FALSE)</f>
        <v>0</v>
      </c>
      <c r="G360" s="526">
        <f t="shared" si="50"/>
        <v>0</v>
      </c>
      <c r="H360" s="525">
        <f>IFERROR(VLOOKUP($B360,'3.Tasks'!$BK$4:$BO$23,2,FALSE),0)</f>
        <v>0</v>
      </c>
      <c r="I360" s="529">
        <f t="shared" si="53"/>
        <v>0</v>
      </c>
      <c r="J360" s="529">
        <f>IFERROR(VLOOKUP($B360,'3.Tasks'!$BK$4:$BO$23,3,FALSE),0)</f>
        <v>0</v>
      </c>
      <c r="K360" s="532">
        <v>0</v>
      </c>
      <c r="L360" s="529">
        <f>IFERROR(VLOOKUP($B360,'3.Tasks'!$BK$4:$BO$23,4,FALSE),0)</f>
        <v>0</v>
      </c>
      <c r="M360" s="532">
        <v>0</v>
      </c>
      <c r="N360" s="529">
        <f>IFERROR(VLOOKUP($B360,'3.Tasks'!$BK$4:$BO$23,5,FALSE),0)</f>
        <v>0</v>
      </c>
      <c r="O360" s="532">
        <v>0</v>
      </c>
      <c r="P360" s="530">
        <f t="shared" si="51"/>
        <v>0</v>
      </c>
      <c r="AJ360" s="110"/>
      <c r="AK360" s="110"/>
      <c r="AL360" s="110"/>
      <c r="AM360" s="110"/>
      <c r="AN360" s="110"/>
      <c r="AO360" s="110"/>
      <c r="AP360" s="110"/>
      <c r="AQ360" s="110"/>
      <c r="AR360" s="110"/>
      <c r="AS360" s="110"/>
      <c r="AT360" s="110"/>
      <c r="AU360" s="110"/>
      <c r="AV360" s="110"/>
      <c r="AW360" s="110"/>
      <c r="AX360" s="110"/>
      <c r="AY360" s="110"/>
      <c r="AZ360" s="110"/>
      <c r="BA360" s="110"/>
      <c r="BB360" s="110"/>
      <c r="BC360" s="110"/>
      <c r="BD360" s="110"/>
      <c r="BE360" s="110"/>
      <c r="BF360" s="110"/>
      <c r="BG360" s="110"/>
      <c r="BH360" s="110"/>
      <c r="BI360" s="110"/>
      <c r="BJ360" s="110"/>
      <c r="BK360" s="110"/>
      <c r="BL360" s="110"/>
    </row>
    <row r="361" spans="1:64">
      <c r="A361" s="529">
        <f t="shared" si="54"/>
        <v>8</v>
      </c>
      <c r="B361" s="529" t="s">
        <v>837</v>
      </c>
      <c r="C361" s="529" t="s">
        <v>37</v>
      </c>
      <c r="D361" s="529" t="str">
        <f>VLOOKUP(A361,Tabela8[[No.]:[Institution**]],9,FALSE)</f>
        <v>FCiências.ID</v>
      </c>
      <c r="E361" s="531" t="s">
        <v>41</v>
      </c>
      <c r="F361" s="529">
        <f>HLOOKUP(C361,'5.Equipments'!$AJ$2:$BC$22,(A361+1),FALSE)</f>
        <v>0</v>
      </c>
      <c r="G361" s="526">
        <f t="shared" si="50"/>
        <v>0</v>
      </c>
      <c r="H361" s="525">
        <f>IFERROR(VLOOKUP($B361,'3.Tasks'!$BK$4:$BO$23,2,FALSE),0)</f>
        <v>0</v>
      </c>
      <c r="I361" s="529">
        <f t="shared" si="53"/>
        <v>0</v>
      </c>
      <c r="J361" s="529">
        <f>IFERROR(VLOOKUP($B361,'3.Tasks'!$BK$4:$BO$23,3,FALSE),0)</f>
        <v>0</v>
      </c>
      <c r="K361" s="532">
        <v>0</v>
      </c>
      <c r="L361" s="529">
        <f>IFERROR(VLOOKUP($B361,'3.Tasks'!$BK$4:$BO$23,4,FALSE),0)</f>
        <v>0</v>
      </c>
      <c r="M361" s="532">
        <v>0</v>
      </c>
      <c r="N361" s="529">
        <f>IFERROR(VLOOKUP($B361,'3.Tasks'!$BK$4:$BO$23,5,FALSE),0)</f>
        <v>0</v>
      </c>
      <c r="O361" s="532">
        <v>0</v>
      </c>
      <c r="P361" s="530">
        <f t="shared" si="51"/>
        <v>0</v>
      </c>
      <c r="AJ361" s="110"/>
      <c r="AK361" s="110"/>
      <c r="AL361" s="110"/>
      <c r="AM361" s="110"/>
      <c r="AN361" s="110"/>
      <c r="AO361" s="110"/>
      <c r="AP361" s="110"/>
      <c r="AQ361" s="110"/>
      <c r="AR361" s="110"/>
      <c r="AS361" s="110"/>
      <c r="AT361" s="110"/>
      <c r="AU361" s="110"/>
      <c r="AV361" s="110"/>
      <c r="AW361" s="110"/>
      <c r="AX361" s="110"/>
      <c r="AY361" s="110"/>
      <c r="AZ361" s="110"/>
      <c r="BA361" s="110"/>
      <c r="BB361" s="110"/>
      <c r="BC361" s="110"/>
      <c r="BD361" s="110"/>
      <c r="BE361" s="110"/>
      <c r="BF361" s="110"/>
      <c r="BG361" s="110"/>
      <c r="BH361" s="110"/>
      <c r="BI361" s="110"/>
      <c r="BJ361" s="110"/>
      <c r="BK361" s="110"/>
      <c r="BL361" s="110"/>
    </row>
    <row r="362" spans="1:64">
      <c r="A362" s="529">
        <v>9</v>
      </c>
      <c r="B362" s="529" t="s">
        <v>818</v>
      </c>
      <c r="C362" s="529" t="s">
        <v>18</v>
      </c>
      <c r="D362" s="529" t="str">
        <f>VLOOKUP(A362,Tabela8[[No.]:[Institution**]],9,FALSE)</f>
        <v>FCiências.ID</v>
      </c>
      <c r="E362" s="531" t="s">
        <v>41</v>
      </c>
      <c r="F362" s="529">
        <f>HLOOKUP(C362,'5.Equipments'!$AJ$2:$BC$22,(A362+1),FALSE)</f>
        <v>0</v>
      </c>
      <c r="G362" s="526">
        <f t="shared" si="50"/>
        <v>0</v>
      </c>
      <c r="H362" s="525">
        <f>IFERROR(VLOOKUP($B362,'3.Tasks'!$BK$4:$BO$23,2,FALSE),0)</f>
        <v>0</v>
      </c>
      <c r="I362" s="529">
        <f t="shared" si="53"/>
        <v>0</v>
      </c>
      <c r="J362" s="529">
        <f>IFERROR(VLOOKUP($B362,'3.Tasks'!$BK$4:$BO$23,3,FALSE),0)</f>
        <v>0</v>
      </c>
      <c r="K362" s="532">
        <v>0</v>
      </c>
      <c r="L362" s="529">
        <f>IFERROR(VLOOKUP($B362,'3.Tasks'!$BK$4:$BO$23,4,FALSE),0)</f>
        <v>0</v>
      </c>
      <c r="M362" s="532">
        <v>0</v>
      </c>
      <c r="N362" s="529">
        <f>IFERROR(VLOOKUP($B362,'3.Tasks'!$BK$4:$BO$23,5,FALSE),0)</f>
        <v>0</v>
      </c>
      <c r="O362" s="532">
        <v>0</v>
      </c>
      <c r="P362" s="530">
        <f t="shared" si="51"/>
        <v>0</v>
      </c>
      <c r="AJ362" s="110"/>
      <c r="AK362" s="110"/>
      <c r="AL362" s="110"/>
      <c r="AM362" s="110"/>
      <c r="AN362" s="110"/>
      <c r="AO362" s="110"/>
      <c r="AP362" s="110"/>
      <c r="AQ362" s="110"/>
      <c r="AR362" s="110"/>
      <c r="AS362" s="110"/>
      <c r="AT362" s="110"/>
      <c r="AU362" s="110"/>
      <c r="AV362" s="110"/>
      <c r="AW362" s="110"/>
      <c r="AX362" s="110"/>
      <c r="AY362" s="110"/>
      <c r="AZ362" s="110"/>
      <c r="BA362" s="110"/>
      <c r="BB362" s="110"/>
      <c r="BC362" s="110"/>
      <c r="BD362" s="110"/>
      <c r="BE362" s="110"/>
      <c r="BF362" s="110"/>
      <c r="BG362" s="110"/>
      <c r="BH362" s="110"/>
      <c r="BI362" s="110"/>
      <c r="BJ362" s="110"/>
      <c r="BK362" s="110"/>
      <c r="BL362" s="110"/>
    </row>
    <row r="363" spans="1:64">
      <c r="A363" s="529">
        <f>+A362</f>
        <v>9</v>
      </c>
      <c r="B363" s="529" t="s">
        <v>819</v>
      </c>
      <c r="C363" s="529" t="s">
        <v>19</v>
      </c>
      <c r="D363" s="529" t="str">
        <f>VLOOKUP(A363,Tabela8[[No.]:[Institution**]],9,FALSE)</f>
        <v>FCiências.ID</v>
      </c>
      <c r="E363" s="531" t="s">
        <v>41</v>
      </c>
      <c r="F363" s="529">
        <f>HLOOKUP(C363,'5.Equipments'!$AJ$2:$BC$22,(A363+1),FALSE)</f>
        <v>0</v>
      </c>
      <c r="G363" s="526">
        <f t="shared" si="50"/>
        <v>0</v>
      </c>
      <c r="H363" s="525">
        <f>IFERROR(VLOOKUP($B363,'3.Tasks'!$BK$4:$BO$23,2,FALSE),0)</f>
        <v>0</v>
      </c>
      <c r="I363" s="529">
        <f t="shared" si="53"/>
        <v>0</v>
      </c>
      <c r="J363" s="529">
        <f>IFERROR(VLOOKUP($B363,'3.Tasks'!$BK$4:$BO$23,3,FALSE),0)</f>
        <v>0</v>
      </c>
      <c r="K363" s="532">
        <v>0</v>
      </c>
      <c r="L363" s="529">
        <f>IFERROR(VLOOKUP($B363,'3.Tasks'!$BK$4:$BO$23,4,FALSE),0)</f>
        <v>0</v>
      </c>
      <c r="M363" s="532">
        <v>0</v>
      </c>
      <c r="N363" s="529">
        <f>IFERROR(VLOOKUP($B363,'3.Tasks'!$BK$4:$BO$23,5,FALSE),0)</f>
        <v>0</v>
      </c>
      <c r="O363" s="532">
        <v>0</v>
      </c>
      <c r="P363" s="530">
        <f t="shared" si="51"/>
        <v>0</v>
      </c>
      <c r="AJ363" s="110"/>
      <c r="AK363" s="110"/>
      <c r="AL363" s="110"/>
      <c r="AM363" s="110"/>
      <c r="AN363" s="110"/>
      <c r="AO363" s="110"/>
      <c r="AP363" s="110"/>
      <c r="AQ363" s="110"/>
      <c r="AR363" s="110"/>
      <c r="AS363" s="110"/>
      <c r="AT363" s="110"/>
      <c r="AU363" s="110"/>
      <c r="AV363" s="110"/>
      <c r="AW363" s="110"/>
      <c r="AX363" s="110"/>
      <c r="AY363" s="110"/>
      <c r="AZ363" s="110"/>
      <c r="BA363" s="110"/>
      <c r="BB363" s="110"/>
      <c r="BC363" s="110"/>
      <c r="BD363" s="110"/>
      <c r="BE363" s="110"/>
      <c r="BF363" s="110"/>
      <c r="BG363" s="110"/>
      <c r="BH363" s="110"/>
      <c r="BI363" s="110"/>
      <c r="BJ363" s="110"/>
      <c r="BK363" s="110"/>
      <c r="BL363" s="110"/>
    </row>
    <row r="364" spans="1:64">
      <c r="A364" s="529">
        <f t="shared" ref="A364:A381" si="55">+A363</f>
        <v>9</v>
      </c>
      <c r="B364" s="529" t="s">
        <v>820</v>
      </c>
      <c r="C364" s="529" t="s">
        <v>20</v>
      </c>
      <c r="D364" s="529" t="str">
        <f>VLOOKUP(A364,Tabela8[[No.]:[Institution**]],9,FALSE)</f>
        <v>FCiências.ID</v>
      </c>
      <c r="E364" s="531" t="s">
        <v>41</v>
      </c>
      <c r="F364" s="529">
        <f>HLOOKUP(C364,'5.Equipments'!$AJ$2:$BC$22,(A364+1),FALSE)</f>
        <v>0</v>
      </c>
      <c r="G364" s="526">
        <f t="shared" si="50"/>
        <v>0</v>
      </c>
      <c r="H364" s="525">
        <f>IFERROR(VLOOKUP($B364,'3.Tasks'!$BK$4:$BO$23,2,FALSE),0)</f>
        <v>0</v>
      </c>
      <c r="I364" s="529">
        <f t="shared" si="53"/>
        <v>0</v>
      </c>
      <c r="J364" s="529">
        <f>IFERROR(VLOOKUP($B364,'3.Tasks'!$BK$4:$BO$23,3,FALSE),0)</f>
        <v>0</v>
      </c>
      <c r="K364" s="532">
        <v>0</v>
      </c>
      <c r="L364" s="529">
        <f>IFERROR(VLOOKUP($B364,'3.Tasks'!$BK$4:$BO$23,4,FALSE),0)</f>
        <v>0</v>
      </c>
      <c r="M364" s="532">
        <v>0</v>
      </c>
      <c r="N364" s="529">
        <f>IFERROR(VLOOKUP($B364,'3.Tasks'!$BK$4:$BO$23,5,FALSE),0)</f>
        <v>0</v>
      </c>
      <c r="O364" s="532">
        <v>0</v>
      </c>
      <c r="P364" s="530">
        <f t="shared" si="51"/>
        <v>0</v>
      </c>
      <c r="AJ364" s="110"/>
      <c r="AK364" s="110"/>
      <c r="AL364" s="110"/>
      <c r="AM364" s="110"/>
      <c r="AN364" s="110"/>
      <c r="AO364" s="110"/>
      <c r="AP364" s="110"/>
      <c r="AQ364" s="110"/>
      <c r="AR364" s="110"/>
      <c r="AS364" s="110"/>
      <c r="AT364" s="110"/>
      <c r="AU364" s="110"/>
      <c r="AV364" s="110"/>
      <c r="AW364" s="110"/>
      <c r="AX364" s="110"/>
      <c r="AY364" s="110"/>
      <c r="AZ364" s="110"/>
      <c r="BA364" s="110"/>
      <c r="BB364" s="110"/>
      <c r="BC364" s="110"/>
      <c r="BD364" s="110"/>
      <c r="BE364" s="110"/>
      <c r="BF364" s="110"/>
      <c r="BG364" s="110"/>
      <c r="BH364" s="110"/>
      <c r="BI364" s="110"/>
      <c r="BJ364" s="110"/>
      <c r="BK364" s="110"/>
      <c r="BL364" s="110"/>
    </row>
    <row r="365" spans="1:64">
      <c r="A365" s="529">
        <f t="shared" si="55"/>
        <v>9</v>
      </c>
      <c r="B365" s="529" t="s">
        <v>821</v>
      </c>
      <c r="C365" s="529" t="s">
        <v>21</v>
      </c>
      <c r="D365" s="529" t="str">
        <f>VLOOKUP(A365,Tabela8[[No.]:[Institution**]],9,FALSE)</f>
        <v>FCiências.ID</v>
      </c>
      <c r="E365" s="531" t="s">
        <v>41</v>
      </c>
      <c r="F365" s="529">
        <f>HLOOKUP(C365,'5.Equipments'!$AJ$2:$BC$22,(A365+1),FALSE)</f>
        <v>0</v>
      </c>
      <c r="G365" s="526">
        <f t="shared" si="50"/>
        <v>0</v>
      </c>
      <c r="H365" s="525">
        <f>IFERROR(VLOOKUP($B365,'3.Tasks'!$BK$4:$BO$23,2,FALSE),0)</f>
        <v>0</v>
      </c>
      <c r="I365" s="529">
        <f t="shared" si="53"/>
        <v>0</v>
      </c>
      <c r="J365" s="529">
        <f>IFERROR(VLOOKUP($B365,'3.Tasks'!$BK$4:$BO$23,3,FALSE),0)</f>
        <v>0</v>
      </c>
      <c r="K365" s="532">
        <v>0</v>
      </c>
      <c r="L365" s="529">
        <f>IFERROR(VLOOKUP($B365,'3.Tasks'!$BK$4:$BO$23,4,FALSE),0)</f>
        <v>0</v>
      </c>
      <c r="M365" s="532">
        <v>0</v>
      </c>
      <c r="N365" s="529">
        <f>IFERROR(VLOOKUP($B365,'3.Tasks'!$BK$4:$BO$23,5,FALSE),0)</f>
        <v>0</v>
      </c>
      <c r="O365" s="532">
        <v>0</v>
      </c>
      <c r="P365" s="530">
        <f t="shared" si="51"/>
        <v>0</v>
      </c>
      <c r="AJ365" s="110"/>
      <c r="AK365" s="110"/>
      <c r="AL365" s="110"/>
      <c r="AM365" s="110"/>
      <c r="AN365" s="110"/>
      <c r="AO365" s="110"/>
      <c r="AP365" s="110"/>
      <c r="AQ365" s="110"/>
      <c r="AR365" s="110"/>
      <c r="AS365" s="110"/>
      <c r="AT365" s="110"/>
      <c r="AU365" s="110"/>
      <c r="AV365" s="110"/>
      <c r="AW365" s="110"/>
      <c r="AX365" s="110"/>
      <c r="AY365" s="110"/>
      <c r="AZ365" s="110"/>
      <c r="BA365" s="110"/>
      <c r="BB365" s="110"/>
      <c r="BC365" s="110"/>
      <c r="BD365" s="110"/>
      <c r="BE365" s="110"/>
      <c r="BF365" s="110"/>
      <c r="BG365" s="110"/>
      <c r="BH365" s="110"/>
      <c r="BI365" s="110"/>
      <c r="BJ365" s="110"/>
      <c r="BK365" s="110"/>
      <c r="BL365" s="110"/>
    </row>
    <row r="366" spans="1:64">
      <c r="A366" s="529">
        <f t="shared" si="55"/>
        <v>9</v>
      </c>
      <c r="B366" s="529" t="s">
        <v>822</v>
      </c>
      <c r="C366" s="529" t="s">
        <v>22</v>
      </c>
      <c r="D366" s="529" t="str">
        <f>VLOOKUP(A366,Tabela8[[No.]:[Institution**]],9,FALSE)</f>
        <v>FCiências.ID</v>
      </c>
      <c r="E366" s="531" t="s">
        <v>41</v>
      </c>
      <c r="F366" s="529">
        <f>HLOOKUP(C366,'5.Equipments'!$AJ$2:$BC$22,(A366+1),FALSE)</f>
        <v>0</v>
      </c>
      <c r="G366" s="526">
        <f t="shared" si="50"/>
        <v>0</v>
      </c>
      <c r="H366" s="525">
        <f>IFERROR(VLOOKUP($B366,'3.Tasks'!$BK$4:$BO$23,2,FALSE),0)</f>
        <v>0</v>
      </c>
      <c r="I366" s="529">
        <f t="shared" si="53"/>
        <v>0</v>
      </c>
      <c r="J366" s="529">
        <f>IFERROR(VLOOKUP($B366,'3.Tasks'!$BK$4:$BO$23,3,FALSE),0)</f>
        <v>0</v>
      </c>
      <c r="K366" s="532">
        <v>0</v>
      </c>
      <c r="L366" s="529">
        <f>IFERROR(VLOOKUP($B366,'3.Tasks'!$BK$4:$BO$23,4,FALSE),0)</f>
        <v>0</v>
      </c>
      <c r="M366" s="532">
        <v>0</v>
      </c>
      <c r="N366" s="529">
        <f>IFERROR(VLOOKUP($B366,'3.Tasks'!$BK$4:$BO$23,5,FALSE),0)</f>
        <v>0</v>
      </c>
      <c r="O366" s="532">
        <v>0</v>
      </c>
      <c r="P366" s="530">
        <f t="shared" si="51"/>
        <v>0</v>
      </c>
      <c r="AJ366" s="110"/>
      <c r="AK366" s="110"/>
      <c r="AL366" s="110"/>
      <c r="AM366" s="110"/>
      <c r="AN366" s="110"/>
      <c r="AO366" s="110"/>
      <c r="AP366" s="110"/>
      <c r="AQ366" s="110"/>
      <c r="AR366" s="110"/>
      <c r="AS366" s="110"/>
      <c r="AT366" s="110"/>
      <c r="AU366" s="110"/>
      <c r="AV366" s="110"/>
      <c r="AW366" s="110"/>
      <c r="AX366" s="110"/>
      <c r="AY366" s="110"/>
      <c r="AZ366" s="110"/>
      <c r="BA366" s="110"/>
      <c r="BB366" s="110"/>
      <c r="BC366" s="110"/>
      <c r="BD366" s="110"/>
      <c r="BE366" s="110"/>
      <c r="BF366" s="110"/>
      <c r="BG366" s="110"/>
      <c r="BH366" s="110"/>
      <c r="BI366" s="110"/>
      <c r="BJ366" s="110"/>
      <c r="BK366" s="110"/>
      <c r="BL366" s="110"/>
    </row>
    <row r="367" spans="1:64">
      <c r="A367" s="529">
        <f t="shared" si="55"/>
        <v>9</v>
      </c>
      <c r="B367" s="529" t="s">
        <v>823</v>
      </c>
      <c r="C367" s="529" t="s">
        <v>23</v>
      </c>
      <c r="D367" s="529" t="str">
        <f>VLOOKUP(A367,Tabela8[[No.]:[Institution**]],9,FALSE)</f>
        <v>FCiências.ID</v>
      </c>
      <c r="E367" s="531" t="s">
        <v>41</v>
      </c>
      <c r="F367" s="529">
        <f>HLOOKUP(C367,'5.Equipments'!$AJ$2:$BC$22,(A367+1),FALSE)</f>
        <v>0</v>
      </c>
      <c r="G367" s="526">
        <f t="shared" si="50"/>
        <v>0</v>
      </c>
      <c r="H367" s="525">
        <f>IFERROR(VLOOKUP($B367,'3.Tasks'!$BK$4:$BO$23,2,FALSE),0)</f>
        <v>0</v>
      </c>
      <c r="I367" s="529">
        <f t="shared" si="53"/>
        <v>0</v>
      </c>
      <c r="J367" s="529">
        <f>IFERROR(VLOOKUP($B367,'3.Tasks'!$BK$4:$BO$23,3,FALSE),0)</f>
        <v>0</v>
      </c>
      <c r="K367" s="532">
        <v>0</v>
      </c>
      <c r="L367" s="529">
        <f>IFERROR(VLOOKUP($B367,'3.Tasks'!$BK$4:$BO$23,4,FALSE),0)</f>
        <v>0</v>
      </c>
      <c r="M367" s="532">
        <v>0</v>
      </c>
      <c r="N367" s="529">
        <f>IFERROR(VLOOKUP($B367,'3.Tasks'!$BK$4:$BO$23,5,FALSE),0)</f>
        <v>0</v>
      </c>
      <c r="O367" s="532">
        <v>0</v>
      </c>
      <c r="P367" s="530">
        <f t="shared" si="51"/>
        <v>0</v>
      </c>
      <c r="AJ367" s="110"/>
      <c r="AK367" s="110"/>
      <c r="AL367" s="110"/>
      <c r="AM367" s="110"/>
      <c r="AN367" s="110"/>
      <c r="AO367" s="110"/>
      <c r="AP367" s="110"/>
      <c r="AQ367" s="110"/>
      <c r="AR367" s="110"/>
      <c r="AS367" s="110"/>
      <c r="AT367" s="110"/>
      <c r="AU367" s="110"/>
      <c r="AV367" s="110"/>
      <c r="AW367" s="110"/>
      <c r="AX367" s="110"/>
      <c r="AY367" s="110"/>
      <c r="AZ367" s="110"/>
      <c r="BA367" s="110"/>
      <c r="BB367" s="110"/>
      <c r="BC367" s="110"/>
      <c r="BD367" s="110"/>
      <c r="BE367" s="110"/>
      <c r="BF367" s="110"/>
      <c r="BG367" s="110"/>
      <c r="BH367" s="110"/>
      <c r="BI367" s="110"/>
      <c r="BJ367" s="110"/>
      <c r="BK367" s="110"/>
      <c r="BL367" s="110"/>
    </row>
    <row r="368" spans="1:64">
      <c r="A368" s="529">
        <f t="shared" si="55"/>
        <v>9</v>
      </c>
      <c r="B368" s="529" t="s">
        <v>824</v>
      </c>
      <c r="C368" s="529" t="s">
        <v>24</v>
      </c>
      <c r="D368" s="529" t="str">
        <f>VLOOKUP(A368,Tabela8[[No.]:[Institution**]],9,FALSE)</f>
        <v>FCiências.ID</v>
      </c>
      <c r="E368" s="531" t="s">
        <v>41</v>
      </c>
      <c r="F368" s="529">
        <f>HLOOKUP(C368,'5.Equipments'!$AJ$2:$BC$22,(A368+1),FALSE)</f>
        <v>0</v>
      </c>
      <c r="G368" s="526">
        <f t="shared" si="50"/>
        <v>0</v>
      </c>
      <c r="H368" s="525">
        <f>IFERROR(VLOOKUP($B368,'3.Tasks'!$BK$4:$BO$23,2,FALSE),0)</f>
        <v>0</v>
      </c>
      <c r="I368" s="529">
        <f t="shared" si="53"/>
        <v>0</v>
      </c>
      <c r="J368" s="529">
        <f>IFERROR(VLOOKUP($B368,'3.Tasks'!$BK$4:$BO$23,3,FALSE),0)</f>
        <v>0</v>
      </c>
      <c r="K368" s="532">
        <v>0</v>
      </c>
      <c r="L368" s="529">
        <f>IFERROR(VLOOKUP($B368,'3.Tasks'!$BK$4:$BO$23,4,FALSE),0)</f>
        <v>0</v>
      </c>
      <c r="M368" s="532">
        <v>0</v>
      </c>
      <c r="N368" s="529">
        <f>IFERROR(VLOOKUP($B368,'3.Tasks'!$BK$4:$BO$23,5,FALSE),0)</f>
        <v>0</v>
      </c>
      <c r="O368" s="532">
        <v>0</v>
      </c>
      <c r="P368" s="530">
        <f t="shared" si="51"/>
        <v>0</v>
      </c>
      <c r="AJ368" s="110"/>
      <c r="AK368" s="110"/>
      <c r="AL368" s="110"/>
      <c r="AM368" s="110"/>
      <c r="AN368" s="110"/>
      <c r="AO368" s="110"/>
      <c r="AP368" s="110"/>
      <c r="AQ368" s="110"/>
      <c r="AR368" s="110"/>
      <c r="AS368" s="110"/>
      <c r="AT368" s="110"/>
      <c r="AU368" s="110"/>
      <c r="AV368" s="110"/>
      <c r="AW368" s="110"/>
      <c r="AX368" s="110"/>
      <c r="AY368" s="110"/>
      <c r="AZ368" s="110"/>
      <c r="BA368" s="110"/>
      <c r="BB368" s="110"/>
      <c r="BC368" s="110"/>
      <c r="BD368" s="110"/>
      <c r="BE368" s="110"/>
      <c r="BF368" s="110"/>
      <c r="BG368" s="110"/>
      <c r="BH368" s="110"/>
      <c r="BI368" s="110"/>
      <c r="BJ368" s="110"/>
      <c r="BK368" s="110"/>
      <c r="BL368" s="110"/>
    </row>
    <row r="369" spans="1:64">
      <c r="A369" s="529">
        <f t="shared" si="55"/>
        <v>9</v>
      </c>
      <c r="B369" s="529" t="s">
        <v>825</v>
      </c>
      <c r="C369" s="529" t="s">
        <v>25</v>
      </c>
      <c r="D369" s="529" t="str">
        <f>VLOOKUP(A369,Tabela8[[No.]:[Institution**]],9,FALSE)</f>
        <v>FCiências.ID</v>
      </c>
      <c r="E369" s="531" t="s">
        <v>41</v>
      </c>
      <c r="F369" s="529">
        <f>HLOOKUP(C369,'5.Equipments'!$AJ$2:$BC$22,(A369+1),FALSE)</f>
        <v>0</v>
      </c>
      <c r="G369" s="526">
        <f t="shared" si="50"/>
        <v>0</v>
      </c>
      <c r="H369" s="525">
        <f>IFERROR(VLOOKUP($B369,'3.Tasks'!$BK$4:$BO$23,2,FALSE),0)</f>
        <v>0</v>
      </c>
      <c r="I369" s="529">
        <f t="shared" si="53"/>
        <v>0</v>
      </c>
      <c r="J369" s="529">
        <f>IFERROR(VLOOKUP($B369,'3.Tasks'!$BK$4:$BO$23,3,FALSE),0)</f>
        <v>0</v>
      </c>
      <c r="K369" s="532">
        <v>0</v>
      </c>
      <c r="L369" s="529">
        <f>IFERROR(VLOOKUP($B369,'3.Tasks'!$BK$4:$BO$23,4,FALSE),0)</f>
        <v>0</v>
      </c>
      <c r="M369" s="532">
        <v>0</v>
      </c>
      <c r="N369" s="529">
        <f>IFERROR(VLOOKUP($B369,'3.Tasks'!$BK$4:$BO$23,5,FALSE),0)</f>
        <v>0</v>
      </c>
      <c r="O369" s="532">
        <v>0</v>
      </c>
      <c r="P369" s="530">
        <f t="shared" si="51"/>
        <v>0</v>
      </c>
      <c r="AJ369" s="110"/>
      <c r="AK369" s="110"/>
      <c r="AL369" s="110"/>
      <c r="AM369" s="110"/>
      <c r="AN369" s="110"/>
      <c r="AO369" s="110"/>
      <c r="AP369" s="110"/>
      <c r="AQ369" s="110"/>
      <c r="AR369" s="110"/>
      <c r="AS369" s="110"/>
      <c r="AT369" s="110"/>
      <c r="AU369" s="110"/>
      <c r="AV369" s="110"/>
      <c r="AW369" s="110"/>
      <c r="AX369" s="110"/>
      <c r="AY369" s="110"/>
      <c r="AZ369" s="110"/>
      <c r="BA369" s="110"/>
      <c r="BB369" s="110"/>
      <c r="BC369" s="110"/>
      <c r="BD369" s="110"/>
      <c r="BE369" s="110"/>
      <c r="BF369" s="110"/>
      <c r="BG369" s="110"/>
      <c r="BH369" s="110"/>
      <c r="BI369" s="110"/>
      <c r="BJ369" s="110"/>
      <c r="BK369" s="110"/>
      <c r="BL369" s="110"/>
    </row>
    <row r="370" spans="1:64">
      <c r="A370" s="529">
        <f t="shared" si="55"/>
        <v>9</v>
      </c>
      <c r="B370" s="529" t="s">
        <v>826</v>
      </c>
      <c r="C370" s="529" t="s">
        <v>26</v>
      </c>
      <c r="D370" s="529" t="str">
        <f>VLOOKUP(A370,Tabela8[[No.]:[Institution**]],9,FALSE)</f>
        <v>FCiências.ID</v>
      </c>
      <c r="E370" s="531" t="s">
        <v>41</v>
      </c>
      <c r="F370" s="529">
        <f>HLOOKUP(C370,'5.Equipments'!$AJ$2:$BC$22,(A370+1),FALSE)</f>
        <v>0</v>
      </c>
      <c r="G370" s="526">
        <f t="shared" si="50"/>
        <v>0</v>
      </c>
      <c r="H370" s="525">
        <f>IFERROR(VLOOKUP($B370,'3.Tasks'!$BK$4:$BO$23,2,FALSE),0)</f>
        <v>0</v>
      </c>
      <c r="I370" s="529">
        <f t="shared" si="53"/>
        <v>0</v>
      </c>
      <c r="J370" s="529">
        <f>IFERROR(VLOOKUP($B370,'3.Tasks'!$BK$4:$BO$23,3,FALSE),0)</f>
        <v>0</v>
      </c>
      <c r="K370" s="532">
        <v>0</v>
      </c>
      <c r="L370" s="529">
        <f>IFERROR(VLOOKUP($B370,'3.Tasks'!$BK$4:$BO$23,4,FALSE),0)</f>
        <v>0</v>
      </c>
      <c r="M370" s="532">
        <v>0</v>
      </c>
      <c r="N370" s="529">
        <f>IFERROR(VLOOKUP($B370,'3.Tasks'!$BK$4:$BO$23,5,FALSE),0)</f>
        <v>0</v>
      </c>
      <c r="O370" s="532">
        <v>0</v>
      </c>
      <c r="P370" s="530">
        <f t="shared" si="51"/>
        <v>0</v>
      </c>
      <c r="AJ370" s="110"/>
      <c r="AK370" s="110"/>
      <c r="AL370" s="110"/>
      <c r="AM370" s="110"/>
      <c r="AN370" s="110"/>
      <c r="AO370" s="110"/>
      <c r="AP370" s="110"/>
      <c r="AQ370" s="110"/>
      <c r="AR370" s="110"/>
      <c r="AS370" s="110"/>
      <c r="AT370" s="110"/>
      <c r="AU370" s="110"/>
      <c r="AV370" s="110"/>
      <c r="AW370" s="110"/>
      <c r="AX370" s="110"/>
      <c r="AY370" s="110"/>
      <c r="AZ370" s="110"/>
      <c r="BA370" s="110"/>
      <c r="BB370" s="110"/>
      <c r="BC370" s="110"/>
      <c r="BD370" s="110"/>
      <c r="BE370" s="110"/>
      <c r="BF370" s="110"/>
      <c r="BG370" s="110"/>
      <c r="BH370" s="110"/>
      <c r="BI370" s="110"/>
      <c r="BJ370" s="110"/>
      <c r="BK370" s="110"/>
      <c r="BL370" s="110"/>
    </row>
    <row r="371" spans="1:64">
      <c r="A371" s="529">
        <f t="shared" si="55"/>
        <v>9</v>
      </c>
      <c r="B371" s="529" t="s">
        <v>827</v>
      </c>
      <c r="C371" s="529" t="s">
        <v>27</v>
      </c>
      <c r="D371" s="529" t="str">
        <f>VLOOKUP(A371,Tabela8[[No.]:[Institution**]],9,FALSE)</f>
        <v>FCiências.ID</v>
      </c>
      <c r="E371" s="531" t="s">
        <v>41</v>
      </c>
      <c r="F371" s="529">
        <f>HLOOKUP(C371,'5.Equipments'!$AJ$2:$BC$22,(A371+1),FALSE)</f>
        <v>0</v>
      </c>
      <c r="G371" s="526">
        <f t="shared" si="50"/>
        <v>0</v>
      </c>
      <c r="H371" s="525">
        <f>IFERROR(VLOOKUP($B371,'3.Tasks'!$BK$4:$BO$23,2,FALSE),0)</f>
        <v>0</v>
      </c>
      <c r="I371" s="529">
        <f t="shared" si="53"/>
        <v>0</v>
      </c>
      <c r="J371" s="529">
        <f>IFERROR(VLOOKUP($B371,'3.Tasks'!$BK$4:$BO$23,3,FALSE),0)</f>
        <v>0</v>
      </c>
      <c r="K371" s="532">
        <v>0</v>
      </c>
      <c r="L371" s="529">
        <f>IFERROR(VLOOKUP($B371,'3.Tasks'!$BK$4:$BO$23,4,FALSE),0)</f>
        <v>0</v>
      </c>
      <c r="M371" s="532">
        <v>0</v>
      </c>
      <c r="N371" s="529">
        <f>IFERROR(VLOOKUP($B371,'3.Tasks'!$BK$4:$BO$23,5,FALSE),0)</f>
        <v>0</v>
      </c>
      <c r="O371" s="532">
        <v>0</v>
      </c>
      <c r="P371" s="530">
        <f t="shared" si="51"/>
        <v>0</v>
      </c>
      <c r="AJ371" s="110"/>
      <c r="AK371" s="110"/>
      <c r="AL371" s="110"/>
      <c r="AM371" s="110"/>
      <c r="AN371" s="110"/>
      <c r="AO371" s="110"/>
      <c r="AP371" s="110"/>
      <c r="AQ371" s="110"/>
      <c r="AR371" s="110"/>
      <c r="AS371" s="110"/>
      <c r="AT371" s="110"/>
      <c r="AU371" s="110"/>
      <c r="AV371" s="110"/>
      <c r="AW371" s="110"/>
      <c r="AX371" s="110"/>
      <c r="AY371" s="110"/>
      <c r="AZ371" s="110"/>
      <c r="BA371" s="110"/>
      <c r="BB371" s="110"/>
      <c r="BC371" s="110"/>
      <c r="BD371" s="110"/>
      <c r="BE371" s="110"/>
      <c r="BF371" s="110"/>
      <c r="BG371" s="110"/>
      <c r="BH371" s="110"/>
      <c r="BI371" s="110"/>
      <c r="BJ371" s="110"/>
      <c r="BK371" s="110"/>
      <c r="BL371" s="110"/>
    </row>
    <row r="372" spans="1:64">
      <c r="A372" s="529">
        <f t="shared" si="55"/>
        <v>9</v>
      </c>
      <c r="B372" s="529" t="s">
        <v>828</v>
      </c>
      <c r="C372" s="529" t="s">
        <v>28</v>
      </c>
      <c r="D372" s="529" t="str">
        <f>VLOOKUP(A372,Tabela8[[No.]:[Institution**]],9,FALSE)</f>
        <v>FCiências.ID</v>
      </c>
      <c r="E372" s="531" t="s">
        <v>41</v>
      </c>
      <c r="F372" s="529">
        <f>HLOOKUP(C372,'5.Equipments'!$AJ$2:$BC$22,(A372+1),FALSE)</f>
        <v>0</v>
      </c>
      <c r="G372" s="526">
        <f t="shared" si="50"/>
        <v>0</v>
      </c>
      <c r="H372" s="525">
        <f>IFERROR(VLOOKUP($B372,'3.Tasks'!$BK$4:$BO$23,2,FALSE),0)</f>
        <v>0</v>
      </c>
      <c r="I372" s="529">
        <f t="shared" si="53"/>
        <v>0</v>
      </c>
      <c r="J372" s="529">
        <f>IFERROR(VLOOKUP($B372,'3.Tasks'!$BK$4:$BO$23,3,FALSE),0)</f>
        <v>0</v>
      </c>
      <c r="K372" s="532">
        <v>0</v>
      </c>
      <c r="L372" s="529">
        <f>IFERROR(VLOOKUP($B372,'3.Tasks'!$BK$4:$BO$23,4,FALSE),0)</f>
        <v>0</v>
      </c>
      <c r="M372" s="532">
        <v>0</v>
      </c>
      <c r="N372" s="529">
        <f>IFERROR(VLOOKUP($B372,'3.Tasks'!$BK$4:$BO$23,5,FALSE),0)</f>
        <v>0</v>
      </c>
      <c r="O372" s="532">
        <v>0</v>
      </c>
      <c r="P372" s="530">
        <f t="shared" si="51"/>
        <v>0</v>
      </c>
      <c r="AJ372" s="110"/>
      <c r="AK372" s="110"/>
      <c r="AL372" s="110"/>
      <c r="AM372" s="110"/>
      <c r="AN372" s="110"/>
      <c r="AO372" s="110"/>
      <c r="AP372" s="110"/>
      <c r="AQ372" s="110"/>
      <c r="AR372" s="110"/>
      <c r="AS372" s="110"/>
      <c r="AT372" s="110"/>
      <c r="AU372" s="110"/>
      <c r="AV372" s="110"/>
      <c r="AW372" s="110"/>
      <c r="AX372" s="110"/>
      <c r="AY372" s="110"/>
      <c r="AZ372" s="110"/>
      <c r="BA372" s="110"/>
      <c r="BB372" s="110"/>
      <c r="BC372" s="110"/>
      <c r="BD372" s="110"/>
      <c r="BE372" s="110"/>
      <c r="BF372" s="110"/>
      <c r="BG372" s="110"/>
      <c r="BH372" s="110"/>
      <c r="BI372" s="110"/>
      <c r="BJ372" s="110"/>
      <c r="BK372" s="110"/>
      <c r="BL372" s="110"/>
    </row>
    <row r="373" spans="1:64">
      <c r="A373" s="529">
        <f t="shared" si="55"/>
        <v>9</v>
      </c>
      <c r="B373" s="529" t="s">
        <v>829</v>
      </c>
      <c r="C373" s="529" t="s">
        <v>29</v>
      </c>
      <c r="D373" s="529" t="str">
        <f>VLOOKUP(A373,Tabela8[[No.]:[Institution**]],9,FALSE)</f>
        <v>FCiências.ID</v>
      </c>
      <c r="E373" s="531" t="s">
        <v>41</v>
      </c>
      <c r="F373" s="529">
        <f>HLOOKUP(C373,'5.Equipments'!$AJ$2:$BC$22,(A373+1),FALSE)</f>
        <v>0</v>
      </c>
      <c r="G373" s="526">
        <f t="shared" si="50"/>
        <v>0</v>
      </c>
      <c r="H373" s="525">
        <f>IFERROR(VLOOKUP($B373,'3.Tasks'!$BK$4:$BO$23,2,FALSE),0)</f>
        <v>0</v>
      </c>
      <c r="I373" s="529">
        <f t="shared" si="53"/>
        <v>0</v>
      </c>
      <c r="J373" s="529">
        <f>IFERROR(VLOOKUP($B373,'3.Tasks'!$BK$4:$BO$23,3,FALSE),0)</f>
        <v>0</v>
      </c>
      <c r="K373" s="532">
        <v>0</v>
      </c>
      <c r="L373" s="529">
        <f>IFERROR(VLOOKUP($B373,'3.Tasks'!$BK$4:$BO$23,4,FALSE),0)</f>
        <v>0</v>
      </c>
      <c r="M373" s="532">
        <v>0</v>
      </c>
      <c r="N373" s="529">
        <f>IFERROR(VLOOKUP($B373,'3.Tasks'!$BK$4:$BO$23,5,FALSE),0)</f>
        <v>0</v>
      </c>
      <c r="O373" s="532">
        <v>0</v>
      </c>
      <c r="P373" s="530">
        <f t="shared" si="51"/>
        <v>0</v>
      </c>
      <c r="AJ373" s="110"/>
      <c r="AK373" s="110"/>
      <c r="AL373" s="110"/>
      <c r="AM373" s="110"/>
      <c r="AN373" s="110"/>
      <c r="AO373" s="110"/>
      <c r="AP373" s="110"/>
      <c r="AQ373" s="110"/>
      <c r="AR373" s="110"/>
      <c r="AS373" s="110"/>
      <c r="AT373" s="110"/>
      <c r="AU373" s="110"/>
      <c r="AV373" s="110"/>
      <c r="AW373" s="110"/>
      <c r="AX373" s="110"/>
      <c r="AY373" s="110"/>
      <c r="AZ373" s="110"/>
      <c r="BA373" s="110"/>
      <c r="BB373" s="110"/>
      <c r="BC373" s="110"/>
      <c r="BD373" s="110"/>
      <c r="BE373" s="110"/>
      <c r="BF373" s="110"/>
      <c r="BG373" s="110"/>
      <c r="BH373" s="110"/>
      <c r="BI373" s="110"/>
      <c r="BJ373" s="110"/>
      <c r="BK373" s="110"/>
      <c r="BL373" s="110"/>
    </row>
    <row r="374" spans="1:64">
      <c r="A374" s="529">
        <f t="shared" si="55"/>
        <v>9</v>
      </c>
      <c r="B374" s="529" t="s">
        <v>830</v>
      </c>
      <c r="C374" s="529" t="s">
        <v>30</v>
      </c>
      <c r="D374" s="529" t="str">
        <f>VLOOKUP(A374,Tabela8[[No.]:[Institution**]],9,FALSE)</f>
        <v>FCiências.ID</v>
      </c>
      <c r="E374" s="531" t="s">
        <v>41</v>
      </c>
      <c r="F374" s="529">
        <f>HLOOKUP(C374,'5.Equipments'!$AJ$2:$BC$22,(A374+1),FALSE)</f>
        <v>0</v>
      </c>
      <c r="G374" s="526">
        <f t="shared" si="50"/>
        <v>0</v>
      </c>
      <c r="H374" s="525">
        <f>IFERROR(VLOOKUP($B374,'3.Tasks'!$BK$4:$BO$23,2,FALSE),0)</f>
        <v>0</v>
      </c>
      <c r="I374" s="529">
        <f t="shared" si="53"/>
        <v>0</v>
      </c>
      <c r="J374" s="529">
        <f>IFERROR(VLOOKUP($B374,'3.Tasks'!$BK$4:$BO$23,3,FALSE),0)</f>
        <v>0</v>
      </c>
      <c r="K374" s="532">
        <v>0</v>
      </c>
      <c r="L374" s="529">
        <f>IFERROR(VLOOKUP($B374,'3.Tasks'!$BK$4:$BO$23,4,FALSE),0)</f>
        <v>0</v>
      </c>
      <c r="M374" s="532">
        <v>0</v>
      </c>
      <c r="N374" s="529">
        <f>IFERROR(VLOOKUP($B374,'3.Tasks'!$BK$4:$BO$23,5,FALSE),0)</f>
        <v>0</v>
      </c>
      <c r="O374" s="532">
        <v>0</v>
      </c>
      <c r="P374" s="530">
        <f t="shared" si="51"/>
        <v>0</v>
      </c>
      <c r="AJ374" s="110"/>
      <c r="AK374" s="110"/>
      <c r="AL374" s="110"/>
      <c r="AM374" s="110"/>
      <c r="AN374" s="110"/>
      <c r="AO374" s="110"/>
      <c r="AP374" s="110"/>
      <c r="AQ374" s="110"/>
      <c r="AR374" s="110"/>
      <c r="AS374" s="110"/>
      <c r="AT374" s="110"/>
      <c r="AU374" s="110"/>
      <c r="AV374" s="110"/>
      <c r="AW374" s="110"/>
      <c r="AX374" s="110"/>
      <c r="AY374" s="110"/>
      <c r="AZ374" s="110"/>
      <c r="BA374" s="110"/>
      <c r="BB374" s="110"/>
      <c r="BC374" s="110"/>
      <c r="BD374" s="110"/>
      <c r="BE374" s="110"/>
      <c r="BF374" s="110"/>
      <c r="BG374" s="110"/>
      <c r="BH374" s="110"/>
      <c r="BI374" s="110"/>
      <c r="BJ374" s="110"/>
      <c r="BK374" s="110"/>
      <c r="BL374" s="110"/>
    </row>
    <row r="375" spans="1:64">
      <c r="A375" s="529">
        <f t="shared" si="55"/>
        <v>9</v>
      </c>
      <c r="B375" s="529" t="s">
        <v>831</v>
      </c>
      <c r="C375" s="529" t="s">
        <v>31</v>
      </c>
      <c r="D375" s="529" t="str">
        <f>VLOOKUP(A375,Tabela8[[No.]:[Institution**]],9,FALSE)</f>
        <v>FCiências.ID</v>
      </c>
      <c r="E375" s="531" t="s">
        <v>41</v>
      </c>
      <c r="F375" s="529">
        <f>HLOOKUP(C375,'5.Equipments'!$AJ$2:$BC$22,(A375+1),FALSE)</f>
        <v>0</v>
      </c>
      <c r="G375" s="526">
        <f t="shared" si="50"/>
        <v>0</v>
      </c>
      <c r="H375" s="525">
        <f>IFERROR(VLOOKUP($B375,'3.Tasks'!$BK$4:$BO$23,2,FALSE),0)</f>
        <v>0</v>
      </c>
      <c r="I375" s="529">
        <f t="shared" si="53"/>
        <v>0</v>
      </c>
      <c r="J375" s="529">
        <f>IFERROR(VLOOKUP($B375,'3.Tasks'!$BK$4:$BO$23,3,FALSE),0)</f>
        <v>0</v>
      </c>
      <c r="K375" s="532">
        <v>0</v>
      </c>
      <c r="L375" s="529">
        <f>IFERROR(VLOOKUP($B375,'3.Tasks'!$BK$4:$BO$23,4,FALSE),0)</f>
        <v>0</v>
      </c>
      <c r="M375" s="532">
        <v>0</v>
      </c>
      <c r="N375" s="529">
        <f>IFERROR(VLOOKUP($B375,'3.Tasks'!$BK$4:$BO$23,5,FALSE),0)</f>
        <v>0</v>
      </c>
      <c r="O375" s="532">
        <v>0</v>
      </c>
      <c r="P375" s="530">
        <f t="shared" si="51"/>
        <v>0</v>
      </c>
      <c r="AJ375" s="110"/>
      <c r="AK375" s="110"/>
      <c r="AL375" s="110"/>
      <c r="AM375" s="110"/>
      <c r="AN375" s="110"/>
      <c r="AO375" s="110"/>
      <c r="AP375" s="110"/>
      <c r="AQ375" s="110"/>
      <c r="AR375" s="110"/>
      <c r="AS375" s="110"/>
      <c r="AT375" s="110"/>
      <c r="AU375" s="110"/>
      <c r="AV375" s="110"/>
      <c r="AW375" s="110"/>
      <c r="AX375" s="110"/>
      <c r="AY375" s="110"/>
      <c r="AZ375" s="110"/>
      <c r="BA375" s="110"/>
      <c r="BB375" s="110"/>
      <c r="BC375" s="110"/>
      <c r="BD375" s="110"/>
      <c r="BE375" s="110"/>
      <c r="BF375" s="110"/>
      <c r="BG375" s="110"/>
      <c r="BH375" s="110"/>
      <c r="BI375" s="110"/>
      <c r="BJ375" s="110"/>
      <c r="BK375" s="110"/>
      <c r="BL375" s="110"/>
    </row>
    <row r="376" spans="1:64">
      <c r="A376" s="529">
        <f t="shared" si="55"/>
        <v>9</v>
      </c>
      <c r="B376" s="529" t="s">
        <v>832</v>
      </c>
      <c r="C376" s="529" t="s">
        <v>32</v>
      </c>
      <c r="D376" s="529" t="str">
        <f>VLOOKUP(A376,Tabela8[[No.]:[Institution**]],9,FALSE)</f>
        <v>FCiências.ID</v>
      </c>
      <c r="E376" s="531" t="s">
        <v>41</v>
      </c>
      <c r="F376" s="529">
        <f>HLOOKUP(C376,'5.Equipments'!$AJ$2:$BC$22,(A376+1),FALSE)</f>
        <v>0</v>
      </c>
      <c r="G376" s="526">
        <f t="shared" si="50"/>
        <v>0</v>
      </c>
      <c r="H376" s="525">
        <f>IFERROR(VLOOKUP($B376,'3.Tasks'!$BK$4:$BO$23,2,FALSE),0)</f>
        <v>0</v>
      </c>
      <c r="I376" s="529">
        <f t="shared" si="53"/>
        <v>0</v>
      </c>
      <c r="J376" s="529">
        <f>IFERROR(VLOOKUP($B376,'3.Tasks'!$BK$4:$BO$23,3,FALSE),0)</f>
        <v>0</v>
      </c>
      <c r="K376" s="532">
        <v>0</v>
      </c>
      <c r="L376" s="529">
        <f>IFERROR(VLOOKUP($B376,'3.Tasks'!$BK$4:$BO$23,4,FALSE),0)</f>
        <v>0</v>
      </c>
      <c r="M376" s="532">
        <v>0</v>
      </c>
      <c r="N376" s="529">
        <f>IFERROR(VLOOKUP($B376,'3.Tasks'!$BK$4:$BO$23,5,FALSE),0)</f>
        <v>0</v>
      </c>
      <c r="O376" s="532">
        <v>0</v>
      </c>
      <c r="P376" s="530">
        <f t="shared" si="51"/>
        <v>0</v>
      </c>
      <c r="AJ376" s="110"/>
      <c r="AK376" s="110"/>
      <c r="AL376" s="110"/>
      <c r="AM376" s="110"/>
      <c r="AN376" s="110"/>
      <c r="AO376" s="110"/>
      <c r="AP376" s="110"/>
      <c r="AQ376" s="110"/>
      <c r="AR376" s="110"/>
      <c r="AS376" s="110"/>
      <c r="AT376" s="110"/>
      <c r="AU376" s="110"/>
      <c r="AV376" s="110"/>
      <c r="AW376" s="110"/>
      <c r="AX376" s="110"/>
      <c r="AY376" s="110"/>
      <c r="AZ376" s="110"/>
      <c r="BA376" s="110"/>
      <c r="BB376" s="110"/>
      <c r="BC376" s="110"/>
      <c r="BD376" s="110"/>
      <c r="BE376" s="110"/>
      <c r="BF376" s="110"/>
      <c r="BG376" s="110"/>
      <c r="BH376" s="110"/>
      <c r="BI376" s="110"/>
      <c r="BJ376" s="110"/>
      <c r="BK376" s="110"/>
      <c r="BL376" s="110"/>
    </row>
    <row r="377" spans="1:64">
      <c r="A377" s="529">
        <f t="shared" si="55"/>
        <v>9</v>
      </c>
      <c r="B377" s="529" t="s">
        <v>833</v>
      </c>
      <c r="C377" s="529" t="s">
        <v>33</v>
      </c>
      <c r="D377" s="529" t="str">
        <f>VLOOKUP(A377,Tabela8[[No.]:[Institution**]],9,FALSE)</f>
        <v>FCiências.ID</v>
      </c>
      <c r="E377" s="531" t="s">
        <v>41</v>
      </c>
      <c r="F377" s="529">
        <f>HLOOKUP(C377,'5.Equipments'!$AJ$2:$BC$22,(A377+1),FALSE)</f>
        <v>0</v>
      </c>
      <c r="G377" s="526">
        <f t="shared" si="50"/>
        <v>0</v>
      </c>
      <c r="H377" s="525">
        <f>IFERROR(VLOOKUP($B377,'3.Tasks'!$BK$4:$BO$23,2,FALSE),0)</f>
        <v>0</v>
      </c>
      <c r="I377" s="529">
        <f t="shared" si="53"/>
        <v>0</v>
      </c>
      <c r="J377" s="529">
        <f>IFERROR(VLOOKUP($B377,'3.Tasks'!$BK$4:$BO$23,3,FALSE),0)</f>
        <v>0</v>
      </c>
      <c r="K377" s="532">
        <v>0</v>
      </c>
      <c r="L377" s="529">
        <f>IFERROR(VLOOKUP($B377,'3.Tasks'!$BK$4:$BO$23,4,FALSE),0)</f>
        <v>0</v>
      </c>
      <c r="M377" s="532">
        <v>0</v>
      </c>
      <c r="N377" s="529">
        <f>IFERROR(VLOOKUP($B377,'3.Tasks'!$BK$4:$BO$23,5,FALSE),0)</f>
        <v>0</v>
      </c>
      <c r="O377" s="532">
        <v>0</v>
      </c>
      <c r="P377" s="530">
        <f t="shared" si="51"/>
        <v>0</v>
      </c>
      <c r="AJ377" s="110"/>
      <c r="AK377" s="110"/>
      <c r="AL377" s="110"/>
      <c r="AM377" s="110"/>
      <c r="AN377" s="110"/>
      <c r="AO377" s="110"/>
      <c r="AP377" s="110"/>
      <c r="AQ377" s="110"/>
      <c r="AR377" s="110"/>
      <c r="AS377" s="110"/>
      <c r="AT377" s="110"/>
      <c r="AU377" s="110"/>
      <c r="AV377" s="110"/>
      <c r="AW377" s="110"/>
      <c r="AX377" s="110"/>
      <c r="AY377" s="110"/>
      <c r="AZ377" s="110"/>
      <c r="BA377" s="110"/>
      <c r="BB377" s="110"/>
      <c r="BC377" s="110"/>
      <c r="BD377" s="110"/>
      <c r="BE377" s="110"/>
      <c r="BF377" s="110"/>
      <c r="BG377" s="110"/>
      <c r="BH377" s="110"/>
      <c r="BI377" s="110"/>
      <c r="BJ377" s="110"/>
      <c r="BK377" s="110"/>
      <c r="BL377" s="110"/>
    </row>
    <row r="378" spans="1:64">
      <c r="A378" s="529">
        <f t="shared" si="55"/>
        <v>9</v>
      </c>
      <c r="B378" s="529" t="s">
        <v>834</v>
      </c>
      <c r="C378" s="529" t="s">
        <v>34</v>
      </c>
      <c r="D378" s="529" t="str">
        <f>VLOOKUP(A378,Tabela8[[No.]:[Institution**]],9,FALSE)</f>
        <v>FCiências.ID</v>
      </c>
      <c r="E378" s="531" t="s">
        <v>41</v>
      </c>
      <c r="F378" s="529">
        <f>HLOOKUP(C378,'5.Equipments'!$AJ$2:$BC$22,(A378+1),FALSE)</f>
        <v>0</v>
      </c>
      <c r="G378" s="526">
        <f t="shared" si="50"/>
        <v>0</v>
      </c>
      <c r="H378" s="525">
        <f>IFERROR(VLOOKUP($B378,'3.Tasks'!$BK$4:$BO$23,2,FALSE),0)</f>
        <v>0</v>
      </c>
      <c r="I378" s="529">
        <f t="shared" si="53"/>
        <v>0</v>
      </c>
      <c r="J378" s="529">
        <f>IFERROR(VLOOKUP($B378,'3.Tasks'!$BK$4:$BO$23,3,FALSE),0)</f>
        <v>0</v>
      </c>
      <c r="K378" s="532">
        <v>0</v>
      </c>
      <c r="L378" s="529">
        <f>IFERROR(VLOOKUP($B378,'3.Tasks'!$BK$4:$BO$23,4,FALSE),0)</f>
        <v>0</v>
      </c>
      <c r="M378" s="532">
        <v>0</v>
      </c>
      <c r="N378" s="529">
        <f>IFERROR(VLOOKUP($B378,'3.Tasks'!$BK$4:$BO$23,5,FALSE),0)</f>
        <v>0</v>
      </c>
      <c r="O378" s="532">
        <v>0</v>
      </c>
      <c r="P378" s="530">
        <f t="shared" si="51"/>
        <v>0</v>
      </c>
      <c r="AJ378" s="110"/>
      <c r="AK378" s="110"/>
      <c r="AL378" s="110"/>
      <c r="AM378" s="110"/>
      <c r="AN378" s="110"/>
      <c r="AO378" s="110"/>
      <c r="AP378" s="110"/>
      <c r="AQ378" s="110"/>
      <c r="AR378" s="110"/>
      <c r="AS378" s="110"/>
      <c r="AT378" s="110"/>
      <c r="AU378" s="110"/>
      <c r="AV378" s="110"/>
      <c r="AW378" s="110"/>
      <c r="AX378" s="110"/>
      <c r="AY378" s="110"/>
      <c r="AZ378" s="110"/>
      <c r="BA378" s="110"/>
      <c r="BB378" s="110"/>
      <c r="BC378" s="110"/>
      <c r="BD378" s="110"/>
      <c r="BE378" s="110"/>
      <c r="BF378" s="110"/>
      <c r="BG378" s="110"/>
      <c r="BH378" s="110"/>
      <c r="BI378" s="110"/>
      <c r="BJ378" s="110"/>
      <c r="BK378" s="110"/>
      <c r="BL378" s="110"/>
    </row>
    <row r="379" spans="1:64">
      <c r="A379" s="529">
        <f t="shared" si="55"/>
        <v>9</v>
      </c>
      <c r="B379" s="529" t="s">
        <v>835</v>
      </c>
      <c r="C379" s="529" t="s">
        <v>35</v>
      </c>
      <c r="D379" s="529" t="str">
        <f>VLOOKUP(A379,Tabela8[[No.]:[Institution**]],9,FALSE)</f>
        <v>FCiências.ID</v>
      </c>
      <c r="E379" s="531" t="s">
        <v>41</v>
      </c>
      <c r="F379" s="529">
        <f>HLOOKUP(C379,'5.Equipments'!$AJ$2:$BC$22,(A379+1),FALSE)</f>
        <v>0</v>
      </c>
      <c r="G379" s="526">
        <f t="shared" si="50"/>
        <v>0</v>
      </c>
      <c r="H379" s="525">
        <f>IFERROR(VLOOKUP($B379,'3.Tasks'!$BK$4:$BO$23,2,FALSE),0)</f>
        <v>0</v>
      </c>
      <c r="I379" s="529">
        <f t="shared" si="53"/>
        <v>0</v>
      </c>
      <c r="J379" s="529">
        <f>IFERROR(VLOOKUP($B379,'3.Tasks'!$BK$4:$BO$23,3,FALSE),0)</f>
        <v>0</v>
      </c>
      <c r="K379" s="532">
        <v>0</v>
      </c>
      <c r="L379" s="529">
        <f>IFERROR(VLOOKUP($B379,'3.Tasks'!$BK$4:$BO$23,4,FALSE),0)</f>
        <v>0</v>
      </c>
      <c r="M379" s="532">
        <v>0</v>
      </c>
      <c r="N379" s="529">
        <f>IFERROR(VLOOKUP($B379,'3.Tasks'!$BK$4:$BO$23,5,FALSE),0)</f>
        <v>0</v>
      </c>
      <c r="O379" s="532">
        <v>0</v>
      </c>
      <c r="P379" s="530">
        <f t="shared" si="51"/>
        <v>0</v>
      </c>
      <c r="AJ379" s="110"/>
      <c r="AK379" s="110"/>
      <c r="AL379" s="110"/>
      <c r="AM379" s="110"/>
      <c r="AN379" s="110"/>
      <c r="AO379" s="110"/>
      <c r="AP379" s="110"/>
      <c r="AQ379" s="110"/>
      <c r="AR379" s="110"/>
      <c r="AS379" s="110"/>
      <c r="AT379" s="110"/>
      <c r="AU379" s="110"/>
      <c r="AV379" s="110"/>
      <c r="AW379" s="110"/>
      <c r="AX379" s="110"/>
      <c r="AY379" s="110"/>
      <c r="AZ379" s="110"/>
      <c r="BA379" s="110"/>
      <c r="BB379" s="110"/>
      <c r="BC379" s="110"/>
      <c r="BD379" s="110"/>
      <c r="BE379" s="110"/>
      <c r="BF379" s="110"/>
      <c r="BG379" s="110"/>
      <c r="BH379" s="110"/>
      <c r="BI379" s="110"/>
      <c r="BJ379" s="110"/>
      <c r="BK379" s="110"/>
      <c r="BL379" s="110"/>
    </row>
    <row r="380" spans="1:64">
      <c r="A380" s="529">
        <f t="shared" si="55"/>
        <v>9</v>
      </c>
      <c r="B380" s="529" t="s">
        <v>836</v>
      </c>
      <c r="C380" s="529" t="s">
        <v>36</v>
      </c>
      <c r="D380" s="529" t="str">
        <f>VLOOKUP(A380,Tabela8[[No.]:[Institution**]],9,FALSE)</f>
        <v>FCiências.ID</v>
      </c>
      <c r="E380" s="531" t="s">
        <v>41</v>
      </c>
      <c r="F380" s="529">
        <f>HLOOKUP(C380,'5.Equipments'!$AJ$2:$BC$22,(A380+1),FALSE)</f>
        <v>0</v>
      </c>
      <c r="G380" s="526">
        <f t="shared" si="50"/>
        <v>0</v>
      </c>
      <c r="H380" s="525">
        <f>IFERROR(VLOOKUP($B380,'3.Tasks'!$BK$4:$BO$23,2,FALSE),0)</f>
        <v>0</v>
      </c>
      <c r="I380" s="529">
        <f t="shared" si="53"/>
        <v>0</v>
      </c>
      <c r="J380" s="529">
        <f>IFERROR(VLOOKUP($B380,'3.Tasks'!$BK$4:$BO$23,3,FALSE),0)</f>
        <v>0</v>
      </c>
      <c r="K380" s="532">
        <v>0</v>
      </c>
      <c r="L380" s="529">
        <f>IFERROR(VLOOKUP($B380,'3.Tasks'!$BK$4:$BO$23,4,FALSE),0)</f>
        <v>0</v>
      </c>
      <c r="M380" s="532">
        <v>0</v>
      </c>
      <c r="N380" s="529">
        <f>IFERROR(VLOOKUP($B380,'3.Tasks'!$BK$4:$BO$23,5,FALSE),0)</f>
        <v>0</v>
      </c>
      <c r="O380" s="532">
        <v>0</v>
      </c>
      <c r="P380" s="530">
        <f t="shared" si="51"/>
        <v>0</v>
      </c>
      <c r="AJ380" s="110"/>
      <c r="AK380" s="110"/>
      <c r="AL380" s="110"/>
      <c r="AM380" s="110"/>
      <c r="AN380" s="110"/>
      <c r="AO380" s="110"/>
      <c r="AP380" s="110"/>
      <c r="AQ380" s="110"/>
      <c r="AR380" s="110"/>
      <c r="AS380" s="110"/>
      <c r="AT380" s="110"/>
      <c r="AU380" s="110"/>
      <c r="AV380" s="110"/>
      <c r="AW380" s="110"/>
      <c r="AX380" s="110"/>
      <c r="AY380" s="110"/>
      <c r="AZ380" s="110"/>
      <c r="BA380" s="110"/>
      <c r="BB380" s="110"/>
      <c r="BC380" s="110"/>
      <c r="BD380" s="110"/>
      <c r="BE380" s="110"/>
      <c r="BF380" s="110"/>
      <c r="BG380" s="110"/>
      <c r="BH380" s="110"/>
      <c r="BI380" s="110"/>
      <c r="BJ380" s="110"/>
      <c r="BK380" s="110"/>
      <c r="BL380" s="110"/>
    </row>
    <row r="381" spans="1:64">
      <c r="A381" s="529">
        <f t="shared" si="55"/>
        <v>9</v>
      </c>
      <c r="B381" s="529" t="s">
        <v>837</v>
      </c>
      <c r="C381" s="529" t="s">
        <v>37</v>
      </c>
      <c r="D381" s="529" t="str">
        <f>VLOOKUP(A381,Tabela8[[No.]:[Institution**]],9,FALSE)</f>
        <v>FCiências.ID</v>
      </c>
      <c r="E381" s="531" t="s">
        <v>41</v>
      </c>
      <c r="F381" s="529">
        <f>HLOOKUP(C381,'5.Equipments'!$AJ$2:$BC$22,(A381+1),FALSE)</f>
        <v>0</v>
      </c>
      <c r="G381" s="526">
        <f t="shared" si="50"/>
        <v>0</v>
      </c>
      <c r="H381" s="525">
        <f>IFERROR(VLOOKUP($B381,'3.Tasks'!$BK$4:$BO$23,2,FALSE),0)</f>
        <v>0</v>
      </c>
      <c r="I381" s="529">
        <f t="shared" si="53"/>
        <v>0</v>
      </c>
      <c r="J381" s="529">
        <f>IFERROR(VLOOKUP($B381,'3.Tasks'!$BK$4:$BO$23,3,FALSE),0)</f>
        <v>0</v>
      </c>
      <c r="K381" s="532">
        <v>0</v>
      </c>
      <c r="L381" s="529">
        <f>IFERROR(VLOOKUP($B381,'3.Tasks'!$BK$4:$BO$23,4,FALSE),0)</f>
        <v>0</v>
      </c>
      <c r="M381" s="532">
        <v>0</v>
      </c>
      <c r="N381" s="529">
        <f>IFERROR(VLOOKUP($B381,'3.Tasks'!$BK$4:$BO$23,5,FALSE),0)</f>
        <v>0</v>
      </c>
      <c r="O381" s="532">
        <v>0</v>
      </c>
      <c r="P381" s="530">
        <f t="shared" si="51"/>
        <v>0</v>
      </c>
      <c r="AJ381" s="110"/>
      <c r="AK381" s="110"/>
      <c r="AL381" s="110"/>
      <c r="AM381" s="110"/>
      <c r="AN381" s="110"/>
      <c r="AO381" s="110"/>
      <c r="AP381" s="110"/>
      <c r="AQ381" s="110"/>
      <c r="AR381" s="110"/>
      <c r="AS381" s="110"/>
      <c r="AT381" s="110"/>
      <c r="AU381" s="110"/>
      <c r="AV381" s="110"/>
      <c r="AW381" s="110"/>
      <c r="AX381" s="110"/>
      <c r="AY381" s="110"/>
      <c r="AZ381" s="110"/>
      <c r="BA381" s="110"/>
      <c r="BB381" s="110"/>
      <c r="BC381" s="110"/>
      <c r="BD381" s="110"/>
      <c r="BE381" s="110"/>
      <c r="BF381" s="110"/>
      <c r="BG381" s="110"/>
      <c r="BH381" s="110"/>
      <c r="BI381" s="110"/>
      <c r="BJ381" s="110"/>
      <c r="BK381" s="110"/>
      <c r="BL381" s="110"/>
    </row>
    <row r="382" spans="1:64">
      <c r="A382" s="529">
        <v>10</v>
      </c>
      <c r="B382" s="529" t="s">
        <v>818</v>
      </c>
      <c r="C382" s="529" t="s">
        <v>18</v>
      </c>
      <c r="D382" s="529" t="str">
        <f>VLOOKUP(A382,Tabela8[[No.]:[Institution**]],9,FALSE)</f>
        <v>FCiências.ID</v>
      </c>
      <c r="E382" s="531" t="s">
        <v>41</v>
      </c>
      <c r="F382" s="529">
        <f>HLOOKUP(C382,'5.Equipments'!$AJ$2:$BC$22,(A382+1),FALSE)</f>
        <v>0</v>
      </c>
      <c r="G382" s="526">
        <f t="shared" si="50"/>
        <v>0</v>
      </c>
      <c r="H382" s="525">
        <f>IFERROR(VLOOKUP($B382,'3.Tasks'!$BK$4:$BO$23,2,FALSE),0)</f>
        <v>0</v>
      </c>
      <c r="I382" s="529">
        <f t="shared" si="53"/>
        <v>0</v>
      </c>
      <c r="J382" s="529">
        <f>IFERROR(VLOOKUP($B382,'3.Tasks'!$BK$4:$BO$23,3,FALSE),0)</f>
        <v>0</v>
      </c>
      <c r="K382" s="532">
        <v>0</v>
      </c>
      <c r="L382" s="529">
        <f>IFERROR(VLOOKUP($B382,'3.Tasks'!$BK$4:$BO$23,4,FALSE),0)</f>
        <v>0</v>
      </c>
      <c r="M382" s="532">
        <v>0</v>
      </c>
      <c r="N382" s="529">
        <f>IFERROR(VLOOKUP($B382,'3.Tasks'!$BK$4:$BO$23,5,FALSE),0)</f>
        <v>0</v>
      </c>
      <c r="O382" s="532">
        <v>0</v>
      </c>
      <c r="P382" s="530">
        <f t="shared" si="51"/>
        <v>0</v>
      </c>
      <c r="AJ382" s="110"/>
      <c r="AK382" s="110"/>
      <c r="AL382" s="110"/>
      <c r="AM382" s="110"/>
      <c r="AN382" s="110"/>
      <c r="AO382" s="110"/>
      <c r="AP382" s="110"/>
      <c r="AQ382" s="110"/>
      <c r="AR382" s="110"/>
      <c r="AS382" s="110"/>
      <c r="AT382" s="110"/>
      <c r="AU382" s="110"/>
      <c r="AV382" s="110"/>
      <c r="AW382" s="110"/>
      <c r="AX382" s="110"/>
      <c r="AY382" s="110"/>
      <c r="AZ382" s="110"/>
      <c r="BA382" s="110"/>
      <c r="BB382" s="110"/>
      <c r="BC382" s="110"/>
      <c r="BD382" s="110"/>
      <c r="BE382" s="110"/>
      <c r="BF382" s="110"/>
      <c r="BG382" s="110"/>
      <c r="BH382" s="110"/>
      <c r="BI382" s="110"/>
      <c r="BJ382" s="110"/>
      <c r="BK382" s="110"/>
      <c r="BL382" s="110"/>
    </row>
    <row r="383" spans="1:64">
      <c r="A383" s="529">
        <f>+A382</f>
        <v>10</v>
      </c>
      <c r="B383" s="529" t="s">
        <v>819</v>
      </c>
      <c r="C383" s="529" t="s">
        <v>19</v>
      </c>
      <c r="D383" s="529" t="str">
        <f>VLOOKUP(A383,Tabela8[[No.]:[Institution**]],9,FALSE)</f>
        <v>FCiências.ID</v>
      </c>
      <c r="E383" s="531" t="s">
        <v>41</v>
      </c>
      <c r="F383" s="529">
        <f>HLOOKUP(C383,'5.Equipments'!$AJ$2:$BC$22,(A383+1),FALSE)</f>
        <v>0</v>
      </c>
      <c r="G383" s="526">
        <f t="shared" si="50"/>
        <v>0</v>
      </c>
      <c r="H383" s="525">
        <f>IFERROR(VLOOKUP($B383,'3.Tasks'!$BK$4:$BO$23,2,FALSE),0)</f>
        <v>0</v>
      </c>
      <c r="I383" s="529">
        <f t="shared" si="53"/>
        <v>0</v>
      </c>
      <c r="J383" s="529">
        <f>IFERROR(VLOOKUP($B383,'3.Tasks'!$BK$4:$BO$23,3,FALSE),0)</f>
        <v>0</v>
      </c>
      <c r="K383" s="532">
        <v>0</v>
      </c>
      <c r="L383" s="529">
        <f>IFERROR(VLOOKUP($B383,'3.Tasks'!$BK$4:$BO$23,4,FALSE),0)</f>
        <v>0</v>
      </c>
      <c r="M383" s="532">
        <v>0</v>
      </c>
      <c r="N383" s="529">
        <f>IFERROR(VLOOKUP($B383,'3.Tasks'!$BK$4:$BO$23,5,FALSE),0)</f>
        <v>0</v>
      </c>
      <c r="O383" s="532">
        <v>0</v>
      </c>
      <c r="P383" s="530">
        <f t="shared" si="51"/>
        <v>0</v>
      </c>
      <c r="AJ383" s="110"/>
      <c r="AK383" s="110"/>
      <c r="AL383" s="110"/>
      <c r="AM383" s="110"/>
      <c r="AN383" s="110"/>
      <c r="AO383" s="110"/>
      <c r="AP383" s="110"/>
      <c r="AQ383" s="110"/>
      <c r="AR383" s="110"/>
      <c r="AS383" s="110"/>
      <c r="AT383" s="110"/>
      <c r="AU383" s="110"/>
      <c r="AV383" s="110"/>
      <c r="AW383" s="110"/>
      <c r="AX383" s="110"/>
      <c r="AY383" s="110"/>
      <c r="AZ383" s="110"/>
      <c r="BA383" s="110"/>
      <c r="BB383" s="110"/>
      <c r="BC383" s="110"/>
      <c r="BD383" s="110"/>
      <c r="BE383" s="110"/>
      <c r="BF383" s="110"/>
      <c r="BG383" s="110"/>
      <c r="BH383" s="110"/>
      <c r="BI383" s="110"/>
      <c r="BJ383" s="110"/>
      <c r="BK383" s="110"/>
      <c r="BL383" s="110"/>
    </row>
    <row r="384" spans="1:64">
      <c r="A384" s="529">
        <f t="shared" ref="A384:A401" si="56">+A383</f>
        <v>10</v>
      </c>
      <c r="B384" s="529" t="s">
        <v>820</v>
      </c>
      <c r="C384" s="529" t="s">
        <v>20</v>
      </c>
      <c r="D384" s="529" t="str">
        <f>VLOOKUP(A384,Tabela8[[No.]:[Institution**]],9,FALSE)</f>
        <v>FCiências.ID</v>
      </c>
      <c r="E384" s="531" t="s">
        <v>41</v>
      </c>
      <c r="F384" s="529">
        <f>HLOOKUP(C384,'5.Equipments'!$AJ$2:$BC$22,(A384+1),FALSE)</f>
        <v>0</v>
      </c>
      <c r="G384" s="526">
        <f t="shared" si="50"/>
        <v>0</v>
      </c>
      <c r="H384" s="525">
        <f>IFERROR(VLOOKUP($B384,'3.Tasks'!$BK$4:$BO$23,2,FALSE),0)</f>
        <v>0</v>
      </c>
      <c r="I384" s="529">
        <f t="shared" si="53"/>
        <v>0</v>
      </c>
      <c r="J384" s="529">
        <f>IFERROR(VLOOKUP($B384,'3.Tasks'!$BK$4:$BO$23,3,FALSE),0)</f>
        <v>0</v>
      </c>
      <c r="K384" s="532">
        <v>0</v>
      </c>
      <c r="L384" s="529">
        <f>IFERROR(VLOOKUP($B384,'3.Tasks'!$BK$4:$BO$23,4,FALSE),0)</f>
        <v>0</v>
      </c>
      <c r="M384" s="532">
        <v>0</v>
      </c>
      <c r="N384" s="529">
        <f>IFERROR(VLOOKUP($B384,'3.Tasks'!$BK$4:$BO$23,5,FALSE),0)</f>
        <v>0</v>
      </c>
      <c r="O384" s="532">
        <v>0</v>
      </c>
      <c r="P384" s="530">
        <f t="shared" si="51"/>
        <v>0</v>
      </c>
      <c r="AJ384" s="110"/>
      <c r="AK384" s="110"/>
      <c r="AL384" s="110"/>
      <c r="AM384" s="110"/>
      <c r="AN384" s="110"/>
      <c r="AO384" s="110"/>
      <c r="AP384" s="110"/>
      <c r="AQ384" s="110"/>
      <c r="AR384" s="110"/>
      <c r="AS384" s="110"/>
      <c r="AT384" s="110"/>
      <c r="AU384" s="110"/>
      <c r="AV384" s="110"/>
      <c r="AW384" s="110"/>
      <c r="AX384" s="110"/>
      <c r="AY384" s="110"/>
      <c r="AZ384" s="110"/>
      <c r="BA384" s="110"/>
      <c r="BB384" s="110"/>
      <c r="BC384" s="110"/>
      <c r="BD384" s="110"/>
      <c r="BE384" s="110"/>
      <c r="BF384" s="110"/>
      <c r="BG384" s="110"/>
      <c r="BH384" s="110"/>
      <c r="BI384" s="110"/>
      <c r="BJ384" s="110"/>
      <c r="BK384" s="110"/>
      <c r="BL384" s="110"/>
    </row>
    <row r="385" spans="1:64">
      <c r="A385" s="529">
        <f t="shared" si="56"/>
        <v>10</v>
      </c>
      <c r="B385" s="529" t="s">
        <v>821</v>
      </c>
      <c r="C385" s="529" t="s">
        <v>21</v>
      </c>
      <c r="D385" s="529" t="str">
        <f>VLOOKUP(A385,Tabela8[[No.]:[Institution**]],9,FALSE)</f>
        <v>FCiências.ID</v>
      </c>
      <c r="E385" s="531" t="s">
        <v>41</v>
      </c>
      <c r="F385" s="529">
        <f>HLOOKUP(C385,'5.Equipments'!$AJ$2:$BC$22,(A385+1),FALSE)</f>
        <v>0</v>
      </c>
      <c r="G385" s="526">
        <f t="shared" si="50"/>
        <v>0</v>
      </c>
      <c r="H385" s="525">
        <f>IFERROR(VLOOKUP($B385,'3.Tasks'!$BK$4:$BO$23,2,FALSE),0)</f>
        <v>0</v>
      </c>
      <c r="I385" s="529">
        <f t="shared" si="53"/>
        <v>0</v>
      </c>
      <c r="J385" s="529">
        <f>IFERROR(VLOOKUP($B385,'3.Tasks'!$BK$4:$BO$23,3,FALSE),0)</f>
        <v>0</v>
      </c>
      <c r="K385" s="532">
        <v>0</v>
      </c>
      <c r="L385" s="529">
        <f>IFERROR(VLOOKUP($B385,'3.Tasks'!$BK$4:$BO$23,4,FALSE),0)</f>
        <v>0</v>
      </c>
      <c r="M385" s="532">
        <v>0</v>
      </c>
      <c r="N385" s="529">
        <f>IFERROR(VLOOKUP($B385,'3.Tasks'!$BK$4:$BO$23,5,FALSE),0)</f>
        <v>0</v>
      </c>
      <c r="O385" s="532">
        <v>0</v>
      </c>
      <c r="P385" s="530">
        <f t="shared" si="51"/>
        <v>0</v>
      </c>
      <c r="AJ385" s="110"/>
      <c r="AK385" s="110"/>
      <c r="AL385" s="110"/>
      <c r="AM385" s="110"/>
      <c r="AN385" s="110"/>
      <c r="AO385" s="110"/>
      <c r="AP385" s="110"/>
      <c r="AQ385" s="110"/>
      <c r="AR385" s="110"/>
      <c r="AS385" s="110"/>
      <c r="AT385" s="110"/>
      <c r="AU385" s="110"/>
      <c r="AV385" s="110"/>
      <c r="AW385" s="110"/>
      <c r="AX385" s="110"/>
      <c r="AY385" s="110"/>
      <c r="AZ385" s="110"/>
      <c r="BA385" s="110"/>
      <c r="BB385" s="110"/>
      <c r="BC385" s="110"/>
      <c r="BD385" s="110"/>
      <c r="BE385" s="110"/>
      <c r="BF385" s="110"/>
      <c r="BG385" s="110"/>
      <c r="BH385" s="110"/>
      <c r="BI385" s="110"/>
      <c r="BJ385" s="110"/>
      <c r="BK385" s="110"/>
      <c r="BL385" s="110"/>
    </row>
    <row r="386" spans="1:64">
      <c r="A386" s="529">
        <f t="shared" si="56"/>
        <v>10</v>
      </c>
      <c r="B386" s="529" t="s">
        <v>822</v>
      </c>
      <c r="C386" s="529" t="s">
        <v>22</v>
      </c>
      <c r="D386" s="529" t="str">
        <f>VLOOKUP(A386,Tabela8[[No.]:[Institution**]],9,FALSE)</f>
        <v>FCiências.ID</v>
      </c>
      <c r="E386" s="531" t="s">
        <v>41</v>
      </c>
      <c r="F386" s="529">
        <f>HLOOKUP(C386,'5.Equipments'!$AJ$2:$BC$22,(A386+1),FALSE)</f>
        <v>0</v>
      </c>
      <c r="G386" s="526">
        <f t="shared" si="50"/>
        <v>0</v>
      </c>
      <c r="H386" s="525">
        <f>IFERROR(VLOOKUP($B386,'3.Tasks'!$BK$4:$BO$23,2,FALSE),0)</f>
        <v>0</v>
      </c>
      <c r="I386" s="529">
        <f t="shared" si="53"/>
        <v>0</v>
      </c>
      <c r="J386" s="529">
        <f>IFERROR(VLOOKUP($B386,'3.Tasks'!$BK$4:$BO$23,3,FALSE),0)</f>
        <v>0</v>
      </c>
      <c r="K386" s="532">
        <v>0</v>
      </c>
      <c r="L386" s="529">
        <f>IFERROR(VLOOKUP($B386,'3.Tasks'!$BK$4:$BO$23,4,FALSE),0)</f>
        <v>0</v>
      </c>
      <c r="M386" s="532">
        <v>0</v>
      </c>
      <c r="N386" s="529">
        <f>IFERROR(VLOOKUP($B386,'3.Tasks'!$BK$4:$BO$23,5,FALSE),0)</f>
        <v>0</v>
      </c>
      <c r="O386" s="532">
        <v>0</v>
      </c>
      <c r="P386" s="530">
        <f t="shared" si="51"/>
        <v>0</v>
      </c>
      <c r="AJ386" s="110"/>
      <c r="AK386" s="110"/>
      <c r="AL386" s="110"/>
      <c r="AM386" s="110"/>
      <c r="AN386" s="110"/>
      <c r="AO386" s="110"/>
      <c r="AP386" s="110"/>
      <c r="AQ386" s="110"/>
      <c r="AR386" s="110"/>
      <c r="AS386" s="110"/>
      <c r="AT386" s="110"/>
      <c r="AU386" s="110"/>
      <c r="AV386" s="110"/>
      <c r="AW386" s="110"/>
      <c r="AX386" s="110"/>
      <c r="AY386" s="110"/>
      <c r="AZ386" s="110"/>
      <c r="BA386" s="110"/>
      <c r="BB386" s="110"/>
      <c r="BC386" s="110"/>
      <c r="BD386" s="110"/>
      <c r="BE386" s="110"/>
      <c r="BF386" s="110"/>
      <c r="BG386" s="110"/>
      <c r="BH386" s="110"/>
      <c r="BI386" s="110"/>
      <c r="BJ386" s="110"/>
      <c r="BK386" s="110"/>
      <c r="BL386" s="110"/>
    </row>
    <row r="387" spans="1:64">
      <c r="A387" s="529">
        <f t="shared" si="56"/>
        <v>10</v>
      </c>
      <c r="B387" s="529" t="s">
        <v>823</v>
      </c>
      <c r="C387" s="529" t="s">
        <v>23</v>
      </c>
      <c r="D387" s="529" t="str">
        <f>VLOOKUP(A387,Tabela8[[No.]:[Institution**]],9,FALSE)</f>
        <v>FCiências.ID</v>
      </c>
      <c r="E387" s="531" t="s">
        <v>41</v>
      </c>
      <c r="F387" s="529">
        <f>HLOOKUP(C387,'5.Equipments'!$AJ$2:$BC$22,(A387+1),FALSE)</f>
        <v>0</v>
      </c>
      <c r="G387" s="526">
        <f t="shared" ref="G387:G450" si="57">IFERROR((H387+J387+L387+N387),0)</f>
        <v>0</v>
      </c>
      <c r="H387" s="525">
        <f>IFERROR(VLOOKUP($B387,'3.Tasks'!$BK$4:$BO$23,2,FALSE),0)</f>
        <v>0</v>
      </c>
      <c r="I387" s="529">
        <f t="shared" si="53"/>
        <v>0</v>
      </c>
      <c r="J387" s="529">
        <f>IFERROR(VLOOKUP($B387,'3.Tasks'!$BK$4:$BO$23,3,FALSE),0)</f>
        <v>0</v>
      </c>
      <c r="K387" s="532">
        <v>0</v>
      </c>
      <c r="L387" s="529">
        <f>IFERROR(VLOOKUP($B387,'3.Tasks'!$BK$4:$BO$23,4,FALSE),0)</f>
        <v>0</v>
      </c>
      <c r="M387" s="532">
        <v>0</v>
      </c>
      <c r="N387" s="529">
        <f>IFERROR(VLOOKUP($B387,'3.Tasks'!$BK$4:$BO$23,5,FALSE),0)</f>
        <v>0</v>
      </c>
      <c r="O387" s="532">
        <v>0</v>
      </c>
      <c r="P387" s="530">
        <f t="shared" ref="P387:P450" si="58">+F387-I387-K387-M387-O387</f>
        <v>0</v>
      </c>
      <c r="AJ387" s="110"/>
      <c r="AK387" s="110"/>
      <c r="AL387" s="110"/>
      <c r="AM387" s="110"/>
      <c r="AN387" s="110"/>
      <c r="AO387" s="110"/>
      <c r="AP387" s="110"/>
      <c r="AQ387" s="110"/>
      <c r="AR387" s="110"/>
      <c r="AS387" s="110"/>
      <c r="AT387" s="110"/>
      <c r="AU387" s="110"/>
      <c r="AV387" s="110"/>
      <c r="AW387" s="110"/>
      <c r="AX387" s="110"/>
      <c r="AY387" s="110"/>
      <c r="AZ387" s="110"/>
      <c r="BA387" s="110"/>
      <c r="BB387" s="110"/>
      <c r="BC387" s="110"/>
      <c r="BD387" s="110"/>
      <c r="BE387" s="110"/>
      <c r="BF387" s="110"/>
      <c r="BG387" s="110"/>
      <c r="BH387" s="110"/>
      <c r="BI387" s="110"/>
      <c r="BJ387" s="110"/>
      <c r="BK387" s="110"/>
      <c r="BL387" s="110"/>
    </row>
    <row r="388" spans="1:64">
      <c r="A388" s="529">
        <f t="shared" si="56"/>
        <v>10</v>
      </c>
      <c r="B388" s="529" t="s">
        <v>824</v>
      </c>
      <c r="C388" s="529" t="s">
        <v>24</v>
      </c>
      <c r="D388" s="529" t="str">
        <f>VLOOKUP(A388,Tabela8[[No.]:[Institution**]],9,FALSE)</f>
        <v>FCiências.ID</v>
      </c>
      <c r="E388" s="531" t="s">
        <v>41</v>
      </c>
      <c r="F388" s="529">
        <f>HLOOKUP(C388,'5.Equipments'!$AJ$2:$BC$22,(A388+1),FALSE)</f>
        <v>0</v>
      </c>
      <c r="G388" s="526">
        <f t="shared" si="57"/>
        <v>0</v>
      </c>
      <c r="H388" s="525">
        <f>IFERROR(VLOOKUP($B388,'3.Tasks'!$BK$4:$BO$23,2,FALSE),0)</f>
        <v>0</v>
      </c>
      <c r="I388" s="529">
        <f t="shared" si="53"/>
        <v>0</v>
      </c>
      <c r="J388" s="529">
        <f>IFERROR(VLOOKUP($B388,'3.Tasks'!$BK$4:$BO$23,3,FALSE),0)</f>
        <v>0</v>
      </c>
      <c r="K388" s="532">
        <v>0</v>
      </c>
      <c r="L388" s="529">
        <f>IFERROR(VLOOKUP($B388,'3.Tasks'!$BK$4:$BO$23,4,FALSE),0)</f>
        <v>0</v>
      </c>
      <c r="M388" s="532">
        <v>0</v>
      </c>
      <c r="N388" s="529">
        <f>IFERROR(VLOOKUP($B388,'3.Tasks'!$BK$4:$BO$23,5,FALSE),0)</f>
        <v>0</v>
      </c>
      <c r="O388" s="532">
        <v>0</v>
      </c>
      <c r="P388" s="530">
        <f t="shared" si="58"/>
        <v>0</v>
      </c>
      <c r="AJ388" s="110"/>
      <c r="AK388" s="110"/>
      <c r="AL388" s="110"/>
      <c r="AM388" s="110"/>
      <c r="AN388" s="110"/>
      <c r="AO388" s="110"/>
      <c r="AP388" s="110"/>
      <c r="AQ388" s="110"/>
      <c r="AR388" s="110"/>
      <c r="AS388" s="110"/>
      <c r="AT388" s="110"/>
      <c r="AU388" s="110"/>
      <c r="AV388" s="110"/>
      <c r="AW388" s="110"/>
      <c r="AX388" s="110"/>
      <c r="AY388" s="110"/>
      <c r="AZ388" s="110"/>
      <c r="BA388" s="110"/>
      <c r="BB388" s="110"/>
      <c r="BC388" s="110"/>
      <c r="BD388" s="110"/>
      <c r="BE388" s="110"/>
      <c r="BF388" s="110"/>
      <c r="BG388" s="110"/>
      <c r="BH388" s="110"/>
      <c r="BI388" s="110"/>
      <c r="BJ388" s="110"/>
      <c r="BK388" s="110"/>
      <c r="BL388" s="110"/>
    </row>
    <row r="389" spans="1:64">
      <c r="A389" s="529">
        <f t="shared" si="56"/>
        <v>10</v>
      </c>
      <c r="B389" s="529" t="s">
        <v>825</v>
      </c>
      <c r="C389" s="529" t="s">
        <v>25</v>
      </c>
      <c r="D389" s="529" t="str">
        <f>VLOOKUP(A389,Tabela8[[No.]:[Institution**]],9,FALSE)</f>
        <v>FCiências.ID</v>
      </c>
      <c r="E389" s="531" t="s">
        <v>41</v>
      </c>
      <c r="F389" s="529">
        <f>HLOOKUP(C389,'5.Equipments'!$AJ$2:$BC$22,(A389+1),FALSE)</f>
        <v>0</v>
      </c>
      <c r="G389" s="526">
        <f t="shared" si="57"/>
        <v>0</v>
      </c>
      <c r="H389" s="525">
        <f>IFERROR(VLOOKUP($B389,'3.Tasks'!$BK$4:$BO$23,2,FALSE),0)</f>
        <v>0</v>
      </c>
      <c r="I389" s="529">
        <f t="shared" si="53"/>
        <v>0</v>
      </c>
      <c r="J389" s="529">
        <f>IFERROR(VLOOKUP($B389,'3.Tasks'!$BK$4:$BO$23,3,FALSE),0)</f>
        <v>0</v>
      </c>
      <c r="K389" s="532">
        <v>0</v>
      </c>
      <c r="L389" s="529">
        <f>IFERROR(VLOOKUP($B389,'3.Tasks'!$BK$4:$BO$23,4,FALSE),0)</f>
        <v>0</v>
      </c>
      <c r="M389" s="532">
        <v>0</v>
      </c>
      <c r="N389" s="529">
        <f>IFERROR(VLOOKUP($B389,'3.Tasks'!$BK$4:$BO$23,5,FALSE),0)</f>
        <v>0</v>
      </c>
      <c r="O389" s="532">
        <v>0</v>
      </c>
      <c r="P389" s="530">
        <f t="shared" si="58"/>
        <v>0</v>
      </c>
      <c r="AJ389" s="110"/>
      <c r="AK389" s="110"/>
      <c r="AL389" s="110"/>
      <c r="AM389" s="110"/>
      <c r="AN389" s="110"/>
      <c r="AO389" s="110"/>
      <c r="AP389" s="110"/>
      <c r="AQ389" s="110"/>
      <c r="AR389" s="110"/>
      <c r="AS389" s="110"/>
      <c r="AT389" s="110"/>
      <c r="AU389" s="110"/>
      <c r="AV389" s="110"/>
      <c r="AW389" s="110"/>
      <c r="AX389" s="110"/>
      <c r="AY389" s="110"/>
      <c r="AZ389" s="110"/>
      <c r="BA389" s="110"/>
      <c r="BB389" s="110"/>
      <c r="BC389" s="110"/>
      <c r="BD389" s="110"/>
      <c r="BE389" s="110"/>
      <c r="BF389" s="110"/>
      <c r="BG389" s="110"/>
      <c r="BH389" s="110"/>
      <c r="BI389" s="110"/>
      <c r="BJ389" s="110"/>
      <c r="BK389" s="110"/>
      <c r="BL389" s="110"/>
    </row>
    <row r="390" spans="1:64">
      <c r="A390" s="529">
        <f t="shared" si="56"/>
        <v>10</v>
      </c>
      <c r="B390" s="529" t="s">
        <v>826</v>
      </c>
      <c r="C390" s="529" t="s">
        <v>26</v>
      </c>
      <c r="D390" s="529" t="str">
        <f>VLOOKUP(A390,Tabela8[[No.]:[Institution**]],9,FALSE)</f>
        <v>FCiências.ID</v>
      </c>
      <c r="E390" s="531" t="s">
        <v>41</v>
      </c>
      <c r="F390" s="529">
        <f>HLOOKUP(C390,'5.Equipments'!$AJ$2:$BC$22,(A390+1),FALSE)</f>
        <v>0</v>
      </c>
      <c r="G390" s="526">
        <f t="shared" si="57"/>
        <v>0</v>
      </c>
      <c r="H390" s="525">
        <f>IFERROR(VLOOKUP($B390,'3.Tasks'!$BK$4:$BO$23,2,FALSE),0)</f>
        <v>0</v>
      </c>
      <c r="I390" s="529">
        <f t="shared" si="53"/>
        <v>0</v>
      </c>
      <c r="J390" s="529">
        <f>IFERROR(VLOOKUP($B390,'3.Tasks'!$BK$4:$BO$23,3,FALSE),0)</f>
        <v>0</v>
      </c>
      <c r="K390" s="532">
        <v>0</v>
      </c>
      <c r="L390" s="529">
        <f>IFERROR(VLOOKUP($B390,'3.Tasks'!$BK$4:$BO$23,4,FALSE),0)</f>
        <v>0</v>
      </c>
      <c r="M390" s="532">
        <v>0</v>
      </c>
      <c r="N390" s="529">
        <f>IFERROR(VLOOKUP($B390,'3.Tasks'!$BK$4:$BO$23,5,FALSE),0)</f>
        <v>0</v>
      </c>
      <c r="O390" s="532">
        <v>0</v>
      </c>
      <c r="P390" s="530">
        <f t="shared" si="58"/>
        <v>0</v>
      </c>
      <c r="AJ390" s="110"/>
      <c r="AK390" s="110"/>
      <c r="AL390" s="110"/>
      <c r="AM390" s="110"/>
      <c r="AN390" s="110"/>
      <c r="AO390" s="110"/>
      <c r="AP390" s="110"/>
      <c r="AQ390" s="110"/>
      <c r="AR390" s="110"/>
      <c r="AS390" s="110"/>
      <c r="AT390" s="110"/>
      <c r="AU390" s="110"/>
      <c r="AV390" s="110"/>
      <c r="AW390" s="110"/>
      <c r="AX390" s="110"/>
      <c r="AY390" s="110"/>
      <c r="AZ390" s="110"/>
      <c r="BA390" s="110"/>
      <c r="BB390" s="110"/>
      <c r="BC390" s="110"/>
      <c r="BD390" s="110"/>
      <c r="BE390" s="110"/>
      <c r="BF390" s="110"/>
      <c r="BG390" s="110"/>
      <c r="BH390" s="110"/>
      <c r="BI390" s="110"/>
      <c r="BJ390" s="110"/>
      <c r="BK390" s="110"/>
      <c r="BL390" s="110"/>
    </row>
    <row r="391" spans="1:64">
      <c r="A391" s="529">
        <f t="shared" si="56"/>
        <v>10</v>
      </c>
      <c r="B391" s="529" t="s">
        <v>827</v>
      </c>
      <c r="C391" s="529" t="s">
        <v>27</v>
      </c>
      <c r="D391" s="529" t="str">
        <f>VLOOKUP(A391,Tabela8[[No.]:[Institution**]],9,FALSE)</f>
        <v>FCiências.ID</v>
      </c>
      <c r="E391" s="531" t="s">
        <v>41</v>
      </c>
      <c r="F391" s="529">
        <f>HLOOKUP(C391,'5.Equipments'!$AJ$2:$BC$22,(A391+1),FALSE)</f>
        <v>0</v>
      </c>
      <c r="G391" s="526">
        <f t="shared" si="57"/>
        <v>0</v>
      </c>
      <c r="H391" s="525">
        <f>IFERROR(VLOOKUP($B391,'3.Tasks'!$BK$4:$BO$23,2,FALSE),0)</f>
        <v>0</v>
      </c>
      <c r="I391" s="529">
        <f t="shared" si="53"/>
        <v>0</v>
      </c>
      <c r="J391" s="529">
        <f>IFERROR(VLOOKUP($B391,'3.Tasks'!$BK$4:$BO$23,3,FALSE),0)</f>
        <v>0</v>
      </c>
      <c r="K391" s="532">
        <v>0</v>
      </c>
      <c r="L391" s="529">
        <f>IFERROR(VLOOKUP($B391,'3.Tasks'!$BK$4:$BO$23,4,FALSE),0)</f>
        <v>0</v>
      </c>
      <c r="M391" s="532">
        <v>0</v>
      </c>
      <c r="N391" s="529">
        <f>IFERROR(VLOOKUP($B391,'3.Tasks'!$BK$4:$BO$23,5,FALSE),0)</f>
        <v>0</v>
      </c>
      <c r="O391" s="532">
        <v>0</v>
      </c>
      <c r="P391" s="530">
        <f t="shared" si="58"/>
        <v>0</v>
      </c>
      <c r="AJ391" s="110"/>
      <c r="AK391" s="110"/>
      <c r="AL391" s="110"/>
      <c r="AM391" s="110"/>
      <c r="AN391" s="110"/>
      <c r="AO391" s="110"/>
      <c r="AP391" s="110"/>
      <c r="AQ391" s="110"/>
      <c r="AR391" s="110"/>
      <c r="AS391" s="110"/>
      <c r="AT391" s="110"/>
      <c r="AU391" s="110"/>
      <c r="AV391" s="110"/>
      <c r="AW391" s="110"/>
      <c r="AX391" s="110"/>
      <c r="AY391" s="110"/>
      <c r="AZ391" s="110"/>
      <c r="BA391" s="110"/>
      <c r="BB391" s="110"/>
      <c r="BC391" s="110"/>
      <c r="BD391" s="110"/>
      <c r="BE391" s="110"/>
      <c r="BF391" s="110"/>
      <c r="BG391" s="110"/>
      <c r="BH391" s="110"/>
      <c r="BI391" s="110"/>
      <c r="BJ391" s="110"/>
      <c r="BK391" s="110"/>
      <c r="BL391" s="110"/>
    </row>
    <row r="392" spans="1:64">
      <c r="A392" s="529">
        <f t="shared" si="56"/>
        <v>10</v>
      </c>
      <c r="B392" s="529" t="s">
        <v>828</v>
      </c>
      <c r="C392" s="529" t="s">
        <v>28</v>
      </c>
      <c r="D392" s="529" t="str">
        <f>VLOOKUP(A392,Tabela8[[No.]:[Institution**]],9,FALSE)</f>
        <v>FCiências.ID</v>
      </c>
      <c r="E392" s="531" t="s">
        <v>41</v>
      </c>
      <c r="F392" s="529">
        <f>HLOOKUP(C392,'5.Equipments'!$AJ$2:$BC$22,(A392+1),FALSE)</f>
        <v>0</v>
      </c>
      <c r="G392" s="526">
        <f t="shared" si="57"/>
        <v>0</v>
      </c>
      <c r="H392" s="525">
        <f>IFERROR(VLOOKUP($B392,'3.Tasks'!$BK$4:$BO$23,2,FALSE),0)</f>
        <v>0</v>
      </c>
      <c r="I392" s="529">
        <f t="shared" si="53"/>
        <v>0</v>
      </c>
      <c r="J392" s="529">
        <f>IFERROR(VLOOKUP($B392,'3.Tasks'!$BK$4:$BO$23,3,FALSE),0)</f>
        <v>0</v>
      </c>
      <c r="K392" s="532">
        <v>0</v>
      </c>
      <c r="L392" s="529">
        <f>IFERROR(VLOOKUP($B392,'3.Tasks'!$BK$4:$BO$23,4,FALSE),0)</f>
        <v>0</v>
      </c>
      <c r="M392" s="532">
        <v>0</v>
      </c>
      <c r="N392" s="529">
        <f>IFERROR(VLOOKUP($B392,'3.Tasks'!$BK$4:$BO$23,5,FALSE),0)</f>
        <v>0</v>
      </c>
      <c r="O392" s="532">
        <v>0</v>
      </c>
      <c r="P392" s="530">
        <f t="shared" si="58"/>
        <v>0</v>
      </c>
      <c r="AJ392" s="110"/>
      <c r="AK392" s="110"/>
      <c r="AL392" s="110"/>
      <c r="AM392" s="110"/>
      <c r="AN392" s="110"/>
      <c r="AO392" s="110"/>
      <c r="AP392" s="110"/>
      <c r="AQ392" s="110"/>
      <c r="AR392" s="110"/>
      <c r="AS392" s="110"/>
      <c r="AT392" s="110"/>
      <c r="AU392" s="110"/>
      <c r="AV392" s="110"/>
      <c r="AW392" s="110"/>
      <c r="AX392" s="110"/>
      <c r="AY392" s="110"/>
      <c r="AZ392" s="110"/>
      <c r="BA392" s="110"/>
      <c r="BB392" s="110"/>
      <c r="BC392" s="110"/>
      <c r="BD392" s="110"/>
      <c r="BE392" s="110"/>
      <c r="BF392" s="110"/>
      <c r="BG392" s="110"/>
      <c r="BH392" s="110"/>
      <c r="BI392" s="110"/>
      <c r="BJ392" s="110"/>
      <c r="BK392" s="110"/>
      <c r="BL392" s="110"/>
    </row>
    <row r="393" spans="1:64">
      <c r="A393" s="529">
        <f t="shared" si="56"/>
        <v>10</v>
      </c>
      <c r="B393" s="529" t="s">
        <v>829</v>
      </c>
      <c r="C393" s="529" t="s">
        <v>29</v>
      </c>
      <c r="D393" s="529" t="str">
        <f>VLOOKUP(A393,Tabela8[[No.]:[Institution**]],9,FALSE)</f>
        <v>FCiências.ID</v>
      </c>
      <c r="E393" s="531" t="s">
        <v>41</v>
      </c>
      <c r="F393" s="529">
        <f>HLOOKUP(C393,'5.Equipments'!$AJ$2:$BC$22,(A393+1),FALSE)</f>
        <v>0</v>
      </c>
      <c r="G393" s="526">
        <f t="shared" si="57"/>
        <v>0</v>
      </c>
      <c r="H393" s="525">
        <f>IFERROR(VLOOKUP($B393,'3.Tasks'!$BK$4:$BO$23,2,FALSE),0)</f>
        <v>0</v>
      </c>
      <c r="I393" s="529">
        <f t="shared" si="53"/>
        <v>0</v>
      </c>
      <c r="J393" s="529">
        <f>IFERROR(VLOOKUP($B393,'3.Tasks'!$BK$4:$BO$23,3,FALSE),0)</f>
        <v>0</v>
      </c>
      <c r="K393" s="532">
        <v>0</v>
      </c>
      <c r="L393" s="529">
        <f>IFERROR(VLOOKUP($B393,'3.Tasks'!$BK$4:$BO$23,4,FALSE),0)</f>
        <v>0</v>
      </c>
      <c r="M393" s="532">
        <v>0</v>
      </c>
      <c r="N393" s="529">
        <f>IFERROR(VLOOKUP($B393,'3.Tasks'!$BK$4:$BO$23,5,FALSE),0)</f>
        <v>0</v>
      </c>
      <c r="O393" s="532">
        <v>0</v>
      </c>
      <c r="P393" s="530">
        <f t="shared" si="58"/>
        <v>0</v>
      </c>
      <c r="AJ393" s="110"/>
      <c r="AK393" s="110"/>
      <c r="AL393" s="110"/>
      <c r="AM393" s="110"/>
      <c r="AN393" s="110"/>
      <c r="AO393" s="110"/>
      <c r="AP393" s="110"/>
      <c r="AQ393" s="110"/>
      <c r="AR393" s="110"/>
      <c r="AS393" s="110"/>
      <c r="AT393" s="110"/>
      <c r="AU393" s="110"/>
      <c r="AV393" s="110"/>
      <c r="AW393" s="110"/>
      <c r="AX393" s="110"/>
      <c r="AY393" s="110"/>
      <c r="AZ393" s="110"/>
      <c r="BA393" s="110"/>
      <c r="BB393" s="110"/>
      <c r="BC393" s="110"/>
      <c r="BD393" s="110"/>
      <c r="BE393" s="110"/>
      <c r="BF393" s="110"/>
      <c r="BG393" s="110"/>
      <c r="BH393" s="110"/>
      <c r="BI393" s="110"/>
      <c r="BJ393" s="110"/>
      <c r="BK393" s="110"/>
      <c r="BL393" s="110"/>
    </row>
    <row r="394" spans="1:64">
      <c r="A394" s="529">
        <f t="shared" si="56"/>
        <v>10</v>
      </c>
      <c r="B394" s="529" t="s">
        <v>830</v>
      </c>
      <c r="C394" s="529" t="s">
        <v>30</v>
      </c>
      <c r="D394" s="529" t="str">
        <f>VLOOKUP(A394,Tabela8[[No.]:[Institution**]],9,FALSE)</f>
        <v>FCiências.ID</v>
      </c>
      <c r="E394" s="531" t="s">
        <v>41</v>
      </c>
      <c r="F394" s="529">
        <f>HLOOKUP(C394,'5.Equipments'!$AJ$2:$BC$22,(A394+1),FALSE)</f>
        <v>0</v>
      </c>
      <c r="G394" s="526">
        <f t="shared" si="57"/>
        <v>0</v>
      </c>
      <c r="H394" s="525">
        <f>IFERROR(VLOOKUP($B394,'3.Tasks'!$BK$4:$BO$23,2,FALSE),0)</f>
        <v>0</v>
      </c>
      <c r="I394" s="529">
        <f t="shared" si="53"/>
        <v>0</v>
      </c>
      <c r="J394" s="529">
        <f>IFERROR(VLOOKUP($B394,'3.Tasks'!$BK$4:$BO$23,3,FALSE),0)</f>
        <v>0</v>
      </c>
      <c r="K394" s="532">
        <v>0</v>
      </c>
      <c r="L394" s="529">
        <f>IFERROR(VLOOKUP($B394,'3.Tasks'!$BK$4:$BO$23,4,FALSE),0)</f>
        <v>0</v>
      </c>
      <c r="M394" s="532">
        <v>0</v>
      </c>
      <c r="N394" s="529">
        <f>IFERROR(VLOOKUP($B394,'3.Tasks'!$BK$4:$BO$23,5,FALSE),0)</f>
        <v>0</v>
      </c>
      <c r="O394" s="532">
        <v>0</v>
      </c>
      <c r="P394" s="530">
        <f t="shared" si="58"/>
        <v>0</v>
      </c>
      <c r="AJ394" s="110"/>
      <c r="AK394" s="110"/>
      <c r="AL394" s="110"/>
      <c r="AM394" s="110"/>
      <c r="AN394" s="110"/>
      <c r="AO394" s="110"/>
      <c r="AP394" s="110"/>
      <c r="AQ394" s="110"/>
      <c r="AR394" s="110"/>
      <c r="AS394" s="110"/>
      <c r="AT394" s="110"/>
      <c r="AU394" s="110"/>
      <c r="AV394" s="110"/>
      <c r="AW394" s="110"/>
      <c r="AX394" s="110"/>
      <c r="AY394" s="110"/>
      <c r="AZ394" s="110"/>
      <c r="BA394" s="110"/>
      <c r="BB394" s="110"/>
      <c r="BC394" s="110"/>
      <c r="BD394" s="110"/>
      <c r="BE394" s="110"/>
      <c r="BF394" s="110"/>
      <c r="BG394" s="110"/>
      <c r="BH394" s="110"/>
      <c r="BI394" s="110"/>
      <c r="BJ394" s="110"/>
      <c r="BK394" s="110"/>
      <c r="BL394" s="110"/>
    </row>
    <row r="395" spans="1:64">
      <c r="A395" s="529">
        <f t="shared" si="56"/>
        <v>10</v>
      </c>
      <c r="B395" s="529" t="s">
        <v>831</v>
      </c>
      <c r="C395" s="529" t="s">
        <v>31</v>
      </c>
      <c r="D395" s="529" t="str">
        <f>VLOOKUP(A395,Tabela8[[No.]:[Institution**]],9,FALSE)</f>
        <v>FCiências.ID</v>
      </c>
      <c r="E395" s="531" t="s">
        <v>41</v>
      </c>
      <c r="F395" s="529">
        <f>HLOOKUP(C395,'5.Equipments'!$AJ$2:$BC$22,(A395+1),FALSE)</f>
        <v>0</v>
      </c>
      <c r="G395" s="526">
        <f t="shared" si="57"/>
        <v>0</v>
      </c>
      <c r="H395" s="525">
        <f>IFERROR(VLOOKUP($B395,'3.Tasks'!$BK$4:$BO$23,2,FALSE),0)</f>
        <v>0</v>
      </c>
      <c r="I395" s="529">
        <f t="shared" ref="I395:I458" si="59">+F395</f>
        <v>0</v>
      </c>
      <c r="J395" s="529">
        <f>IFERROR(VLOOKUP($B395,'3.Tasks'!$BK$4:$BO$23,3,FALSE),0)</f>
        <v>0</v>
      </c>
      <c r="K395" s="532">
        <v>0</v>
      </c>
      <c r="L395" s="529">
        <f>IFERROR(VLOOKUP($B395,'3.Tasks'!$BK$4:$BO$23,4,FALSE),0)</f>
        <v>0</v>
      </c>
      <c r="M395" s="532">
        <v>0</v>
      </c>
      <c r="N395" s="529">
        <f>IFERROR(VLOOKUP($B395,'3.Tasks'!$BK$4:$BO$23,5,FALSE),0)</f>
        <v>0</v>
      </c>
      <c r="O395" s="532">
        <v>0</v>
      </c>
      <c r="P395" s="530">
        <f t="shared" si="58"/>
        <v>0</v>
      </c>
      <c r="AJ395" s="110"/>
      <c r="AK395" s="110"/>
      <c r="AL395" s="110"/>
      <c r="AM395" s="110"/>
      <c r="AN395" s="110"/>
      <c r="AO395" s="110"/>
      <c r="AP395" s="110"/>
      <c r="AQ395" s="110"/>
      <c r="AR395" s="110"/>
      <c r="AS395" s="110"/>
      <c r="AT395" s="110"/>
      <c r="AU395" s="110"/>
      <c r="AV395" s="110"/>
      <c r="AW395" s="110"/>
      <c r="AX395" s="110"/>
      <c r="AY395" s="110"/>
      <c r="AZ395" s="110"/>
      <c r="BA395" s="110"/>
      <c r="BB395" s="110"/>
      <c r="BC395" s="110"/>
      <c r="BD395" s="110"/>
      <c r="BE395" s="110"/>
      <c r="BF395" s="110"/>
      <c r="BG395" s="110"/>
      <c r="BH395" s="110"/>
      <c r="BI395" s="110"/>
      <c r="BJ395" s="110"/>
      <c r="BK395" s="110"/>
      <c r="BL395" s="110"/>
    </row>
    <row r="396" spans="1:64">
      <c r="A396" s="529">
        <f t="shared" si="56"/>
        <v>10</v>
      </c>
      <c r="B396" s="529" t="s">
        <v>832</v>
      </c>
      <c r="C396" s="529" t="s">
        <v>32</v>
      </c>
      <c r="D396" s="529" t="str">
        <f>VLOOKUP(A396,Tabela8[[No.]:[Institution**]],9,FALSE)</f>
        <v>FCiências.ID</v>
      </c>
      <c r="E396" s="531" t="s">
        <v>41</v>
      </c>
      <c r="F396" s="529">
        <f>HLOOKUP(C396,'5.Equipments'!$AJ$2:$BC$22,(A396+1),FALSE)</f>
        <v>0</v>
      </c>
      <c r="G396" s="526">
        <f t="shared" si="57"/>
        <v>0</v>
      </c>
      <c r="H396" s="525">
        <f>IFERROR(VLOOKUP($B396,'3.Tasks'!$BK$4:$BO$23,2,FALSE),0)</f>
        <v>0</v>
      </c>
      <c r="I396" s="529">
        <f t="shared" si="59"/>
        <v>0</v>
      </c>
      <c r="J396" s="529">
        <f>IFERROR(VLOOKUP($B396,'3.Tasks'!$BK$4:$BO$23,3,FALSE),0)</f>
        <v>0</v>
      </c>
      <c r="K396" s="532">
        <v>0</v>
      </c>
      <c r="L396" s="529">
        <f>IFERROR(VLOOKUP($B396,'3.Tasks'!$BK$4:$BO$23,4,FALSE),0)</f>
        <v>0</v>
      </c>
      <c r="M396" s="532">
        <v>0</v>
      </c>
      <c r="N396" s="529">
        <f>IFERROR(VLOOKUP($B396,'3.Tasks'!$BK$4:$BO$23,5,FALSE),0)</f>
        <v>0</v>
      </c>
      <c r="O396" s="532">
        <v>0</v>
      </c>
      <c r="P396" s="530">
        <f t="shared" si="58"/>
        <v>0</v>
      </c>
      <c r="AJ396" s="110"/>
      <c r="AK396" s="110"/>
      <c r="AL396" s="110"/>
      <c r="AM396" s="110"/>
      <c r="AN396" s="110"/>
      <c r="AO396" s="110"/>
      <c r="AP396" s="110"/>
      <c r="AQ396" s="110"/>
      <c r="AR396" s="110"/>
      <c r="AS396" s="110"/>
      <c r="AT396" s="110"/>
      <c r="AU396" s="110"/>
      <c r="AV396" s="110"/>
      <c r="AW396" s="110"/>
      <c r="AX396" s="110"/>
      <c r="AY396" s="110"/>
      <c r="AZ396" s="110"/>
      <c r="BA396" s="110"/>
      <c r="BB396" s="110"/>
      <c r="BC396" s="110"/>
      <c r="BD396" s="110"/>
      <c r="BE396" s="110"/>
      <c r="BF396" s="110"/>
      <c r="BG396" s="110"/>
      <c r="BH396" s="110"/>
      <c r="BI396" s="110"/>
      <c r="BJ396" s="110"/>
      <c r="BK396" s="110"/>
      <c r="BL396" s="110"/>
    </row>
    <row r="397" spans="1:64">
      <c r="A397" s="529">
        <f t="shared" si="56"/>
        <v>10</v>
      </c>
      <c r="B397" s="529" t="s">
        <v>833</v>
      </c>
      <c r="C397" s="529" t="s">
        <v>33</v>
      </c>
      <c r="D397" s="529" t="str">
        <f>VLOOKUP(A397,Tabela8[[No.]:[Institution**]],9,FALSE)</f>
        <v>FCiências.ID</v>
      </c>
      <c r="E397" s="531" t="s">
        <v>41</v>
      </c>
      <c r="F397" s="529">
        <f>HLOOKUP(C397,'5.Equipments'!$AJ$2:$BC$22,(A397+1),FALSE)</f>
        <v>0</v>
      </c>
      <c r="G397" s="526">
        <f t="shared" si="57"/>
        <v>0</v>
      </c>
      <c r="H397" s="525">
        <f>IFERROR(VLOOKUP($B397,'3.Tasks'!$BK$4:$BO$23,2,FALSE),0)</f>
        <v>0</v>
      </c>
      <c r="I397" s="529">
        <f t="shared" si="59"/>
        <v>0</v>
      </c>
      <c r="J397" s="529">
        <f>IFERROR(VLOOKUP($B397,'3.Tasks'!$BK$4:$BO$23,3,FALSE),0)</f>
        <v>0</v>
      </c>
      <c r="K397" s="532">
        <v>0</v>
      </c>
      <c r="L397" s="529">
        <f>IFERROR(VLOOKUP($B397,'3.Tasks'!$BK$4:$BO$23,4,FALSE),0)</f>
        <v>0</v>
      </c>
      <c r="M397" s="532">
        <v>0</v>
      </c>
      <c r="N397" s="529">
        <f>IFERROR(VLOOKUP($B397,'3.Tasks'!$BK$4:$BO$23,5,FALSE),0)</f>
        <v>0</v>
      </c>
      <c r="O397" s="532">
        <v>0</v>
      </c>
      <c r="P397" s="530">
        <f t="shared" si="58"/>
        <v>0</v>
      </c>
      <c r="AJ397" s="110"/>
      <c r="AK397" s="110"/>
      <c r="AL397" s="110"/>
      <c r="AM397" s="110"/>
      <c r="AN397" s="110"/>
      <c r="AO397" s="110"/>
      <c r="AP397" s="110"/>
      <c r="AQ397" s="110"/>
      <c r="AR397" s="110"/>
      <c r="AS397" s="110"/>
      <c r="AT397" s="110"/>
      <c r="AU397" s="110"/>
      <c r="AV397" s="110"/>
      <c r="AW397" s="110"/>
      <c r="AX397" s="110"/>
      <c r="AY397" s="110"/>
      <c r="AZ397" s="110"/>
      <c r="BA397" s="110"/>
      <c r="BB397" s="110"/>
      <c r="BC397" s="110"/>
      <c r="BD397" s="110"/>
      <c r="BE397" s="110"/>
      <c r="BF397" s="110"/>
      <c r="BG397" s="110"/>
      <c r="BH397" s="110"/>
      <c r="BI397" s="110"/>
      <c r="BJ397" s="110"/>
      <c r="BK397" s="110"/>
      <c r="BL397" s="110"/>
    </row>
    <row r="398" spans="1:64">
      <c r="A398" s="529">
        <f t="shared" si="56"/>
        <v>10</v>
      </c>
      <c r="B398" s="529" t="s">
        <v>834</v>
      </c>
      <c r="C398" s="529" t="s">
        <v>34</v>
      </c>
      <c r="D398" s="529" t="str">
        <f>VLOOKUP(A398,Tabela8[[No.]:[Institution**]],9,FALSE)</f>
        <v>FCiências.ID</v>
      </c>
      <c r="E398" s="531" t="s">
        <v>41</v>
      </c>
      <c r="F398" s="529">
        <f>HLOOKUP(C398,'5.Equipments'!$AJ$2:$BC$22,(A398+1),FALSE)</f>
        <v>0</v>
      </c>
      <c r="G398" s="526">
        <f t="shared" si="57"/>
        <v>0</v>
      </c>
      <c r="H398" s="525">
        <f>IFERROR(VLOOKUP($B398,'3.Tasks'!$BK$4:$BO$23,2,FALSE),0)</f>
        <v>0</v>
      </c>
      <c r="I398" s="529">
        <f t="shared" si="59"/>
        <v>0</v>
      </c>
      <c r="J398" s="529">
        <f>IFERROR(VLOOKUP($B398,'3.Tasks'!$BK$4:$BO$23,3,FALSE),0)</f>
        <v>0</v>
      </c>
      <c r="K398" s="532">
        <v>0</v>
      </c>
      <c r="L398" s="529">
        <f>IFERROR(VLOOKUP($B398,'3.Tasks'!$BK$4:$BO$23,4,FALSE),0)</f>
        <v>0</v>
      </c>
      <c r="M398" s="532">
        <v>0</v>
      </c>
      <c r="N398" s="529">
        <f>IFERROR(VLOOKUP($B398,'3.Tasks'!$BK$4:$BO$23,5,FALSE),0)</f>
        <v>0</v>
      </c>
      <c r="O398" s="532">
        <v>0</v>
      </c>
      <c r="P398" s="530">
        <f t="shared" si="58"/>
        <v>0</v>
      </c>
      <c r="AJ398" s="110"/>
      <c r="AK398" s="110"/>
      <c r="AL398" s="110"/>
      <c r="AM398" s="110"/>
      <c r="AN398" s="110"/>
      <c r="AO398" s="110"/>
      <c r="AP398" s="110"/>
      <c r="AQ398" s="110"/>
      <c r="AR398" s="110"/>
      <c r="AS398" s="110"/>
      <c r="AT398" s="110"/>
      <c r="AU398" s="110"/>
      <c r="AV398" s="110"/>
      <c r="AW398" s="110"/>
      <c r="AX398" s="110"/>
      <c r="AY398" s="110"/>
      <c r="AZ398" s="110"/>
      <c r="BA398" s="110"/>
      <c r="BB398" s="110"/>
      <c r="BC398" s="110"/>
      <c r="BD398" s="110"/>
      <c r="BE398" s="110"/>
      <c r="BF398" s="110"/>
      <c r="BG398" s="110"/>
      <c r="BH398" s="110"/>
      <c r="BI398" s="110"/>
      <c r="BJ398" s="110"/>
      <c r="BK398" s="110"/>
      <c r="BL398" s="110"/>
    </row>
    <row r="399" spans="1:64">
      <c r="A399" s="529">
        <f t="shared" si="56"/>
        <v>10</v>
      </c>
      <c r="B399" s="529" t="s">
        <v>835</v>
      </c>
      <c r="C399" s="529" t="s">
        <v>35</v>
      </c>
      <c r="D399" s="529" t="str">
        <f>VLOOKUP(A399,Tabela8[[No.]:[Institution**]],9,FALSE)</f>
        <v>FCiências.ID</v>
      </c>
      <c r="E399" s="531" t="s">
        <v>41</v>
      </c>
      <c r="F399" s="529">
        <f>HLOOKUP(C399,'5.Equipments'!$AJ$2:$BC$22,(A399+1),FALSE)</f>
        <v>0</v>
      </c>
      <c r="G399" s="526">
        <f t="shared" si="57"/>
        <v>0</v>
      </c>
      <c r="H399" s="525">
        <f>IFERROR(VLOOKUP($B399,'3.Tasks'!$BK$4:$BO$23,2,FALSE),0)</f>
        <v>0</v>
      </c>
      <c r="I399" s="529">
        <f t="shared" si="59"/>
        <v>0</v>
      </c>
      <c r="J399" s="529">
        <f>IFERROR(VLOOKUP($B399,'3.Tasks'!$BK$4:$BO$23,3,FALSE),0)</f>
        <v>0</v>
      </c>
      <c r="K399" s="532">
        <v>0</v>
      </c>
      <c r="L399" s="529">
        <f>IFERROR(VLOOKUP($B399,'3.Tasks'!$BK$4:$BO$23,4,FALSE),0)</f>
        <v>0</v>
      </c>
      <c r="M399" s="532">
        <v>0</v>
      </c>
      <c r="N399" s="529">
        <f>IFERROR(VLOOKUP($B399,'3.Tasks'!$BK$4:$BO$23,5,FALSE),0)</f>
        <v>0</v>
      </c>
      <c r="O399" s="532">
        <v>0</v>
      </c>
      <c r="P399" s="530">
        <f t="shared" si="58"/>
        <v>0</v>
      </c>
      <c r="AJ399" s="110"/>
      <c r="AK399" s="110"/>
      <c r="AL399" s="110"/>
      <c r="AM399" s="110"/>
      <c r="AN399" s="110"/>
      <c r="AO399" s="110"/>
      <c r="AP399" s="110"/>
      <c r="AQ399" s="110"/>
      <c r="AR399" s="110"/>
      <c r="AS399" s="110"/>
      <c r="AT399" s="110"/>
      <c r="AU399" s="110"/>
      <c r="AV399" s="110"/>
      <c r="AW399" s="110"/>
      <c r="AX399" s="110"/>
      <c r="AY399" s="110"/>
      <c r="AZ399" s="110"/>
      <c r="BA399" s="110"/>
      <c r="BB399" s="110"/>
      <c r="BC399" s="110"/>
      <c r="BD399" s="110"/>
      <c r="BE399" s="110"/>
      <c r="BF399" s="110"/>
      <c r="BG399" s="110"/>
      <c r="BH399" s="110"/>
      <c r="BI399" s="110"/>
      <c r="BJ399" s="110"/>
      <c r="BK399" s="110"/>
      <c r="BL399" s="110"/>
    </row>
    <row r="400" spans="1:64">
      <c r="A400" s="529">
        <f t="shared" si="56"/>
        <v>10</v>
      </c>
      <c r="B400" s="529" t="s">
        <v>836</v>
      </c>
      <c r="C400" s="529" t="s">
        <v>36</v>
      </c>
      <c r="D400" s="529" t="str">
        <f>VLOOKUP(A400,Tabela8[[No.]:[Institution**]],9,FALSE)</f>
        <v>FCiências.ID</v>
      </c>
      <c r="E400" s="531" t="s">
        <v>41</v>
      </c>
      <c r="F400" s="529">
        <f>HLOOKUP(C400,'5.Equipments'!$AJ$2:$BC$22,(A400+1),FALSE)</f>
        <v>0</v>
      </c>
      <c r="G400" s="526">
        <f t="shared" si="57"/>
        <v>0</v>
      </c>
      <c r="H400" s="525">
        <f>IFERROR(VLOOKUP($B400,'3.Tasks'!$BK$4:$BO$23,2,FALSE),0)</f>
        <v>0</v>
      </c>
      <c r="I400" s="529">
        <f t="shared" si="59"/>
        <v>0</v>
      </c>
      <c r="J400" s="529">
        <f>IFERROR(VLOOKUP($B400,'3.Tasks'!$BK$4:$BO$23,3,FALSE),0)</f>
        <v>0</v>
      </c>
      <c r="K400" s="532">
        <v>0</v>
      </c>
      <c r="L400" s="529">
        <f>IFERROR(VLOOKUP($B400,'3.Tasks'!$BK$4:$BO$23,4,FALSE),0)</f>
        <v>0</v>
      </c>
      <c r="M400" s="532">
        <v>0</v>
      </c>
      <c r="N400" s="529">
        <f>IFERROR(VLOOKUP($B400,'3.Tasks'!$BK$4:$BO$23,5,FALSE),0)</f>
        <v>0</v>
      </c>
      <c r="O400" s="532">
        <v>0</v>
      </c>
      <c r="P400" s="530">
        <f t="shared" si="58"/>
        <v>0</v>
      </c>
      <c r="AJ400" s="110"/>
      <c r="AK400" s="110"/>
      <c r="AL400" s="110"/>
      <c r="AM400" s="110"/>
      <c r="AN400" s="110"/>
      <c r="AO400" s="110"/>
      <c r="AP400" s="110"/>
      <c r="AQ400" s="110"/>
      <c r="AR400" s="110"/>
      <c r="AS400" s="110"/>
      <c r="AT400" s="110"/>
      <c r="AU400" s="110"/>
      <c r="AV400" s="110"/>
      <c r="AW400" s="110"/>
      <c r="AX400" s="110"/>
      <c r="AY400" s="110"/>
      <c r="AZ400" s="110"/>
      <c r="BA400" s="110"/>
      <c r="BB400" s="110"/>
      <c r="BC400" s="110"/>
      <c r="BD400" s="110"/>
      <c r="BE400" s="110"/>
      <c r="BF400" s="110"/>
      <c r="BG400" s="110"/>
      <c r="BH400" s="110"/>
      <c r="BI400" s="110"/>
      <c r="BJ400" s="110"/>
      <c r="BK400" s="110"/>
      <c r="BL400" s="110"/>
    </row>
    <row r="401" spans="1:64">
      <c r="A401" s="529">
        <f t="shared" si="56"/>
        <v>10</v>
      </c>
      <c r="B401" s="529" t="s">
        <v>837</v>
      </c>
      <c r="C401" s="529" t="s">
        <v>37</v>
      </c>
      <c r="D401" s="529" t="str">
        <f>VLOOKUP(A401,Tabela8[[No.]:[Institution**]],9,FALSE)</f>
        <v>FCiências.ID</v>
      </c>
      <c r="E401" s="531" t="s">
        <v>41</v>
      </c>
      <c r="F401" s="529">
        <f>HLOOKUP(C401,'5.Equipments'!$AJ$2:$BC$22,(A401+1),FALSE)</f>
        <v>0</v>
      </c>
      <c r="G401" s="526">
        <f t="shared" si="57"/>
        <v>0</v>
      </c>
      <c r="H401" s="525">
        <f>IFERROR(VLOOKUP($B401,'3.Tasks'!$BK$4:$BO$23,2,FALSE),0)</f>
        <v>0</v>
      </c>
      <c r="I401" s="529">
        <f t="shared" si="59"/>
        <v>0</v>
      </c>
      <c r="J401" s="529">
        <f>IFERROR(VLOOKUP($B401,'3.Tasks'!$BK$4:$BO$23,3,FALSE),0)</f>
        <v>0</v>
      </c>
      <c r="K401" s="532">
        <v>0</v>
      </c>
      <c r="L401" s="529">
        <f>IFERROR(VLOOKUP($B401,'3.Tasks'!$BK$4:$BO$23,4,FALSE),0)</f>
        <v>0</v>
      </c>
      <c r="M401" s="532">
        <v>0</v>
      </c>
      <c r="N401" s="529">
        <f>IFERROR(VLOOKUP($B401,'3.Tasks'!$BK$4:$BO$23,5,FALSE),0)</f>
        <v>0</v>
      </c>
      <c r="O401" s="532">
        <v>0</v>
      </c>
      <c r="P401" s="530">
        <f t="shared" si="58"/>
        <v>0</v>
      </c>
      <c r="AJ401" s="110"/>
      <c r="AK401" s="110"/>
      <c r="AL401" s="110"/>
      <c r="AM401" s="110"/>
      <c r="AN401" s="110"/>
      <c r="AO401" s="110"/>
      <c r="AP401" s="110"/>
      <c r="AQ401" s="110"/>
      <c r="AR401" s="110"/>
      <c r="AS401" s="110"/>
      <c r="AT401" s="110"/>
      <c r="AU401" s="110"/>
      <c r="AV401" s="110"/>
      <c r="AW401" s="110"/>
      <c r="AX401" s="110"/>
      <c r="AY401" s="110"/>
      <c r="AZ401" s="110"/>
      <c r="BA401" s="110"/>
      <c r="BB401" s="110"/>
      <c r="BC401" s="110"/>
      <c r="BD401" s="110"/>
      <c r="BE401" s="110"/>
      <c r="BF401" s="110"/>
      <c r="BG401" s="110"/>
      <c r="BH401" s="110"/>
      <c r="BI401" s="110"/>
      <c r="BJ401" s="110"/>
      <c r="BK401" s="110"/>
      <c r="BL401" s="110"/>
    </row>
    <row r="402" spans="1:64">
      <c r="A402" s="529">
        <v>11</v>
      </c>
      <c r="B402" s="529" t="s">
        <v>818</v>
      </c>
      <c r="C402" s="529" t="s">
        <v>18</v>
      </c>
      <c r="D402" s="529" t="str">
        <f>VLOOKUP(A402,Tabela8[[No.]:[Institution**]],9,FALSE)</f>
        <v>FCiências.ID</v>
      </c>
      <c r="E402" s="531" t="s">
        <v>41</v>
      </c>
      <c r="F402" s="529">
        <f>HLOOKUP(C402,'5.Equipments'!$AJ$2:$BC$22,(A402+1),FALSE)</f>
        <v>0</v>
      </c>
      <c r="G402" s="526">
        <f t="shared" si="57"/>
        <v>0</v>
      </c>
      <c r="H402" s="525">
        <f>IFERROR(VLOOKUP($B402,'3.Tasks'!$BK$4:$BO$23,2,FALSE),0)</f>
        <v>0</v>
      </c>
      <c r="I402" s="529">
        <f t="shared" si="59"/>
        <v>0</v>
      </c>
      <c r="J402" s="529">
        <f>IFERROR(VLOOKUP($B402,'3.Tasks'!$BK$4:$BO$23,3,FALSE),0)</f>
        <v>0</v>
      </c>
      <c r="K402" s="532">
        <v>0</v>
      </c>
      <c r="L402" s="529">
        <f>IFERROR(VLOOKUP($B402,'3.Tasks'!$BK$4:$BO$23,4,FALSE),0)</f>
        <v>0</v>
      </c>
      <c r="M402" s="532">
        <v>0</v>
      </c>
      <c r="N402" s="529">
        <f>IFERROR(VLOOKUP($B402,'3.Tasks'!$BK$4:$BO$23,5,FALSE),0)</f>
        <v>0</v>
      </c>
      <c r="O402" s="532">
        <v>0</v>
      </c>
      <c r="P402" s="530">
        <f t="shared" si="58"/>
        <v>0</v>
      </c>
      <c r="AJ402" s="110"/>
      <c r="AK402" s="110"/>
      <c r="AL402" s="110"/>
      <c r="AM402" s="110"/>
      <c r="AN402" s="110"/>
      <c r="AO402" s="110"/>
      <c r="AP402" s="110"/>
      <c r="AQ402" s="110"/>
      <c r="AR402" s="110"/>
      <c r="AS402" s="110"/>
      <c r="AT402" s="110"/>
      <c r="AU402" s="110"/>
      <c r="AV402" s="110"/>
      <c r="AW402" s="110"/>
      <c r="AX402" s="110"/>
      <c r="AY402" s="110"/>
      <c r="AZ402" s="110"/>
      <c r="BA402" s="110"/>
      <c r="BB402" s="110"/>
      <c r="BC402" s="110"/>
      <c r="BD402" s="110"/>
      <c r="BE402" s="110"/>
      <c r="BF402" s="110"/>
      <c r="BG402" s="110"/>
      <c r="BH402" s="110"/>
      <c r="BI402" s="110"/>
      <c r="BJ402" s="110"/>
      <c r="BK402" s="110"/>
      <c r="BL402" s="110"/>
    </row>
    <row r="403" spans="1:64">
      <c r="A403" s="529">
        <f>+A402</f>
        <v>11</v>
      </c>
      <c r="B403" s="529" t="s">
        <v>819</v>
      </c>
      <c r="C403" s="529" t="s">
        <v>19</v>
      </c>
      <c r="D403" s="529" t="str">
        <f>VLOOKUP(A403,Tabela8[[No.]:[Institution**]],9,FALSE)</f>
        <v>FCiências.ID</v>
      </c>
      <c r="E403" s="531" t="s">
        <v>41</v>
      </c>
      <c r="F403" s="529">
        <f>HLOOKUP(C403,'5.Equipments'!$AJ$2:$BC$22,(A403+1),FALSE)</f>
        <v>0</v>
      </c>
      <c r="G403" s="526">
        <f t="shared" si="57"/>
        <v>0</v>
      </c>
      <c r="H403" s="525">
        <f>IFERROR(VLOOKUP($B403,'3.Tasks'!$BK$4:$BO$23,2,FALSE),0)</f>
        <v>0</v>
      </c>
      <c r="I403" s="529">
        <f t="shared" si="59"/>
        <v>0</v>
      </c>
      <c r="J403" s="529">
        <f>IFERROR(VLOOKUP($B403,'3.Tasks'!$BK$4:$BO$23,3,FALSE),0)</f>
        <v>0</v>
      </c>
      <c r="K403" s="532">
        <v>0</v>
      </c>
      <c r="L403" s="529">
        <f>IFERROR(VLOOKUP($B403,'3.Tasks'!$BK$4:$BO$23,4,FALSE),0)</f>
        <v>0</v>
      </c>
      <c r="M403" s="532">
        <v>0</v>
      </c>
      <c r="N403" s="529">
        <f>IFERROR(VLOOKUP($B403,'3.Tasks'!$BK$4:$BO$23,5,FALSE),0)</f>
        <v>0</v>
      </c>
      <c r="O403" s="532">
        <v>0</v>
      </c>
      <c r="P403" s="530">
        <f t="shared" si="58"/>
        <v>0</v>
      </c>
      <c r="AJ403" s="110"/>
      <c r="AK403" s="110"/>
      <c r="AL403" s="110"/>
      <c r="AM403" s="110"/>
      <c r="AN403" s="110"/>
      <c r="AO403" s="110"/>
      <c r="AP403" s="110"/>
      <c r="AQ403" s="110"/>
      <c r="AR403" s="110"/>
      <c r="AS403" s="110"/>
      <c r="AT403" s="110"/>
      <c r="AU403" s="110"/>
      <c r="AV403" s="110"/>
      <c r="AW403" s="110"/>
      <c r="AX403" s="110"/>
      <c r="AY403" s="110"/>
      <c r="AZ403" s="110"/>
      <c r="BA403" s="110"/>
      <c r="BB403" s="110"/>
      <c r="BC403" s="110"/>
      <c r="BD403" s="110"/>
      <c r="BE403" s="110"/>
      <c r="BF403" s="110"/>
      <c r="BG403" s="110"/>
      <c r="BH403" s="110"/>
      <c r="BI403" s="110"/>
      <c r="BJ403" s="110"/>
      <c r="BK403" s="110"/>
      <c r="BL403" s="110"/>
    </row>
    <row r="404" spans="1:64">
      <c r="A404" s="529">
        <f t="shared" ref="A404:A421" si="60">+A403</f>
        <v>11</v>
      </c>
      <c r="B404" s="529" t="s">
        <v>820</v>
      </c>
      <c r="C404" s="529" t="s">
        <v>20</v>
      </c>
      <c r="D404" s="529" t="str">
        <f>VLOOKUP(A404,Tabela8[[No.]:[Institution**]],9,FALSE)</f>
        <v>FCiências.ID</v>
      </c>
      <c r="E404" s="531" t="s">
        <v>41</v>
      </c>
      <c r="F404" s="529">
        <f>HLOOKUP(C404,'5.Equipments'!$AJ$2:$BC$22,(A404+1),FALSE)</f>
        <v>0</v>
      </c>
      <c r="G404" s="526">
        <f t="shared" si="57"/>
        <v>0</v>
      </c>
      <c r="H404" s="525">
        <f>IFERROR(VLOOKUP($B404,'3.Tasks'!$BK$4:$BO$23,2,FALSE),0)</f>
        <v>0</v>
      </c>
      <c r="I404" s="529">
        <f t="shared" si="59"/>
        <v>0</v>
      </c>
      <c r="J404" s="529">
        <f>IFERROR(VLOOKUP($B404,'3.Tasks'!$BK$4:$BO$23,3,FALSE),0)</f>
        <v>0</v>
      </c>
      <c r="K404" s="532">
        <v>0</v>
      </c>
      <c r="L404" s="529">
        <f>IFERROR(VLOOKUP($B404,'3.Tasks'!$BK$4:$BO$23,4,FALSE),0)</f>
        <v>0</v>
      </c>
      <c r="M404" s="532">
        <v>0</v>
      </c>
      <c r="N404" s="529">
        <f>IFERROR(VLOOKUP($B404,'3.Tasks'!$BK$4:$BO$23,5,FALSE),0)</f>
        <v>0</v>
      </c>
      <c r="O404" s="532">
        <v>0</v>
      </c>
      <c r="P404" s="530">
        <f t="shared" si="58"/>
        <v>0</v>
      </c>
      <c r="AJ404" s="110"/>
      <c r="AK404" s="110"/>
      <c r="AL404" s="110"/>
      <c r="AM404" s="110"/>
      <c r="AN404" s="110"/>
      <c r="AO404" s="110"/>
      <c r="AP404" s="110"/>
      <c r="AQ404" s="110"/>
      <c r="AR404" s="110"/>
      <c r="AS404" s="110"/>
      <c r="AT404" s="110"/>
      <c r="AU404" s="110"/>
      <c r="AV404" s="110"/>
      <c r="AW404" s="110"/>
      <c r="AX404" s="110"/>
      <c r="AY404" s="110"/>
      <c r="AZ404" s="110"/>
      <c r="BA404" s="110"/>
      <c r="BB404" s="110"/>
      <c r="BC404" s="110"/>
      <c r="BD404" s="110"/>
      <c r="BE404" s="110"/>
      <c r="BF404" s="110"/>
      <c r="BG404" s="110"/>
      <c r="BH404" s="110"/>
      <c r="BI404" s="110"/>
      <c r="BJ404" s="110"/>
      <c r="BK404" s="110"/>
      <c r="BL404" s="110"/>
    </row>
    <row r="405" spans="1:64">
      <c r="A405" s="529">
        <f t="shared" si="60"/>
        <v>11</v>
      </c>
      <c r="B405" s="529" t="s">
        <v>821</v>
      </c>
      <c r="C405" s="529" t="s">
        <v>21</v>
      </c>
      <c r="D405" s="529" t="str">
        <f>VLOOKUP(A405,Tabela8[[No.]:[Institution**]],9,FALSE)</f>
        <v>FCiências.ID</v>
      </c>
      <c r="E405" s="531" t="s">
        <v>41</v>
      </c>
      <c r="F405" s="529">
        <f>HLOOKUP(C405,'5.Equipments'!$AJ$2:$BC$22,(A405+1),FALSE)</f>
        <v>0</v>
      </c>
      <c r="G405" s="526">
        <f t="shared" si="57"/>
        <v>0</v>
      </c>
      <c r="H405" s="525">
        <f>IFERROR(VLOOKUP($B405,'3.Tasks'!$BK$4:$BO$23,2,FALSE),0)</f>
        <v>0</v>
      </c>
      <c r="I405" s="529">
        <f t="shared" si="59"/>
        <v>0</v>
      </c>
      <c r="J405" s="529">
        <f>IFERROR(VLOOKUP($B405,'3.Tasks'!$BK$4:$BO$23,3,FALSE),0)</f>
        <v>0</v>
      </c>
      <c r="K405" s="532">
        <v>0</v>
      </c>
      <c r="L405" s="529">
        <f>IFERROR(VLOOKUP($B405,'3.Tasks'!$BK$4:$BO$23,4,FALSE),0)</f>
        <v>0</v>
      </c>
      <c r="M405" s="532">
        <v>0</v>
      </c>
      <c r="N405" s="529">
        <f>IFERROR(VLOOKUP($B405,'3.Tasks'!$BK$4:$BO$23,5,FALSE),0)</f>
        <v>0</v>
      </c>
      <c r="O405" s="532">
        <v>0</v>
      </c>
      <c r="P405" s="530">
        <f t="shared" si="58"/>
        <v>0</v>
      </c>
      <c r="AJ405" s="110"/>
      <c r="AK405" s="110"/>
      <c r="AL405" s="110"/>
      <c r="AM405" s="110"/>
      <c r="AN405" s="110"/>
      <c r="AO405" s="110"/>
      <c r="AP405" s="110"/>
      <c r="AQ405" s="110"/>
      <c r="AR405" s="110"/>
      <c r="AS405" s="110"/>
      <c r="AT405" s="110"/>
      <c r="AU405" s="110"/>
      <c r="AV405" s="110"/>
      <c r="AW405" s="110"/>
      <c r="AX405" s="110"/>
      <c r="AY405" s="110"/>
      <c r="AZ405" s="110"/>
      <c r="BA405" s="110"/>
      <c r="BB405" s="110"/>
      <c r="BC405" s="110"/>
      <c r="BD405" s="110"/>
      <c r="BE405" s="110"/>
      <c r="BF405" s="110"/>
      <c r="BG405" s="110"/>
      <c r="BH405" s="110"/>
      <c r="BI405" s="110"/>
      <c r="BJ405" s="110"/>
      <c r="BK405" s="110"/>
      <c r="BL405" s="110"/>
    </row>
    <row r="406" spans="1:64">
      <c r="A406" s="529">
        <f t="shared" si="60"/>
        <v>11</v>
      </c>
      <c r="B406" s="529" t="s">
        <v>822</v>
      </c>
      <c r="C406" s="529" t="s">
        <v>22</v>
      </c>
      <c r="D406" s="529" t="str">
        <f>VLOOKUP(A406,Tabela8[[No.]:[Institution**]],9,FALSE)</f>
        <v>FCiências.ID</v>
      </c>
      <c r="E406" s="531" t="s">
        <v>41</v>
      </c>
      <c r="F406" s="529">
        <f>HLOOKUP(C406,'5.Equipments'!$AJ$2:$BC$22,(A406+1),FALSE)</f>
        <v>0</v>
      </c>
      <c r="G406" s="526">
        <f t="shared" si="57"/>
        <v>0</v>
      </c>
      <c r="H406" s="525">
        <f>IFERROR(VLOOKUP($B406,'3.Tasks'!$BK$4:$BO$23,2,FALSE),0)</f>
        <v>0</v>
      </c>
      <c r="I406" s="529">
        <f t="shared" si="59"/>
        <v>0</v>
      </c>
      <c r="J406" s="529">
        <f>IFERROR(VLOOKUP($B406,'3.Tasks'!$BK$4:$BO$23,3,FALSE),0)</f>
        <v>0</v>
      </c>
      <c r="K406" s="532">
        <v>0</v>
      </c>
      <c r="L406" s="529">
        <f>IFERROR(VLOOKUP($B406,'3.Tasks'!$BK$4:$BO$23,4,FALSE),0)</f>
        <v>0</v>
      </c>
      <c r="M406" s="532">
        <v>0</v>
      </c>
      <c r="N406" s="529">
        <f>IFERROR(VLOOKUP($B406,'3.Tasks'!$BK$4:$BO$23,5,FALSE),0)</f>
        <v>0</v>
      </c>
      <c r="O406" s="532">
        <v>0</v>
      </c>
      <c r="P406" s="530">
        <f t="shared" si="58"/>
        <v>0</v>
      </c>
      <c r="AJ406" s="110"/>
      <c r="AK406" s="110"/>
      <c r="AL406" s="110"/>
      <c r="AM406" s="110"/>
      <c r="AN406" s="110"/>
      <c r="AO406" s="110"/>
      <c r="AP406" s="110"/>
      <c r="AQ406" s="110"/>
      <c r="AR406" s="110"/>
      <c r="AS406" s="110"/>
      <c r="AT406" s="110"/>
      <c r="AU406" s="110"/>
      <c r="AV406" s="110"/>
      <c r="AW406" s="110"/>
      <c r="AX406" s="110"/>
      <c r="AY406" s="110"/>
      <c r="AZ406" s="110"/>
      <c r="BA406" s="110"/>
      <c r="BB406" s="110"/>
      <c r="BC406" s="110"/>
      <c r="BD406" s="110"/>
      <c r="BE406" s="110"/>
      <c r="BF406" s="110"/>
      <c r="BG406" s="110"/>
      <c r="BH406" s="110"/>
      <c r="BI406" s="110"/>
      <c r="BJ406" s="110"/>
      <c r="BK406" s="110"/>
      <c r="BL406" s="110"/>
    </row>
    <row r="407" spans="1:64">
      <c r="A407" s="529">
        <f t="shared" si="60"/>
        <v>11</v>
      </c>
      <c r="B407" s="529" t="s">
        <v>823</v>
      </c>
      <c r="C407" s="529" t="s">
        <v>23</v>
      </c>
      <c r="D407" s="529" t="str">
        <f>VLOOKUP(A407,Tabela8[[No.]:[Institution**]],9,FALSE)</f>
        <v>FCiências.ID</v>
      </c>
      <c r="E407" s="531" t="s">
        <v>41</v>
      </c>
      <c r="F407" s="529">
        <f>HLOOKUP(C407,'5.Equipments'!$AJ$2:$BC$22,(A407+1),FALSE)</f>
        <v>0</v>
      </c>
      <c r="G407" s="526">
        <f t="shared" si="57"/>
        <v>0</v>
      </c>
      <c r="H407" s="525">
        <f>IFERROR(VLOOKUP($B407,'3.Tasks'!$BK$4:$BO$23,2,FALSE),0)</f>
        <v>0</v>
      </c>
      <c r="I407" s="529">
        <f t="shared" si="59"/>
        <v>0</v>
      </c>
      <c r="J407" s="529">
        <f>IFERROR(VLOOKUP($B407,'3.Tasks'!$BK$4:$BO$23,3,FALSE),0)</f>
        <v>0</v>
      </c>
      <c r="K407" s="532">
        <v>0</v>
      </c>
      <c r="L407" s="529">
        <f>IFERROR(VLOOKUP($B407,'3.Tasks'!$BK$4:$BO$23,4,FALSE),0)</f>
        <v>0</v>
      </c>
      <c r="M407" s="532">
        <v>0</v>
      </c>
      <c r="N407" s="529">
        <f>IFERROR(VLOOKUP($B407,'3.Tasks'!$BK$4:$BO$23,5,FALSE),0)</f>
        <v>0</v>
      </c>
      <c r="O407" s="532">
        <v>0</v>
      </c>
      <c r="P407" s="530">
        <f t="shared" si="58"/>
        <v>0</v>
      </c>
      <c r="AJ407" s="110"/>
      <c r="AK407" s="110"/>
      <c r="AL407" s="110"/>
      <c r="AM407" s="110"/>
      <c r="AN407" s="110"/>
      <c r="AO407" s="110"/>
      <c r="AP407" s="110"/>
      <c r="AQ407" s="110"/>
      <c r="AR407" s="110"/>
      <c r="AS407" s="110"/>
      <c r="AT407" s="110"/>
      <c r="AU407" s="110"/>
      <c r="AV407" s="110"/>
      <c r="AW407" s="110"/>
      <c r="AX407" s="110"/>
      <c r="AY407" s="110"/>
      <c r="AZ407" s="110"/>
      <c r="BA407" s="110"/>
      <c r="BB407" s="110"/>
      <c r="BC407" s="110"/>
      <c r="BD407" s="110"/>
      <c r="BE407" s="110"/>
      <c r="BF407" s="110"/>
      <c r="BG407" s="110"/>
      <c r="BH407" s="110"/>
      <c r="BI407" s="110"/>
      <c r="BJ407" s="110"/>
      <c r="BK407" s="110"/>
      <c r="BL407" s="110"/>
    </row>
    <row r="408" spans="1:64">
      <c r="A408" s="529">
        <f t="shared" si="60"/>
        <v>11</v>
      </c>
      <c r="B408" s="529" t="s">
        <v>824</v>
      </c>
      <c r="C408" s="529" t="s">
        <v>24</v>
      </c>
      <c r="D408" s="529" t="str">
        <f>VLOOKUP(A408,Tabela8[[No.]:[Institution**]],9,FALSE)</f>
        <v>FCiências.ID</v>
      </c>
      <c r="E408" s="531" t="s">
        <v>41</v>
      </c>
      <c r="F408" s="529">
        <f>HLOOKUP(C408,'5.Equipments'!$AJ$2:$BC$22,(A408+1),FALSE)</f>
        <v>0</v>
      </c>
      <c r="G408" s="526">
        <f t="shared" si="57"/>
        <v>0</v>
      </c>
      <c r="H408" s="525">
        <f>IFERROR(VLOOKUP($B408,'3.Tasks'!$BK$4:$BO$23,2,FALSE),0)</f>
        <v>0</v>
      </c>
      <c r="I408" s="529">
        <f t="shared" si="59"/>
        <v>0</v>
      </c>
      <c r="J408" s="529">
        <f>IFERROR(VLOOKUP($B408,'3.Tasks'!$BK$4:$BO$23,3,FALSE),0)</f>
        <v>0</v>
      </c>
      <c r="K408" s="532">
        <v>0</v>
      </c>
      <c r="L408" s="529">
        <f>IFERROR(VLOOKUP($B408,'3.Tasks'!$BK$4:$BO$23,4,FALSE),0)</f>
        <v>0</v>
      </c>
      <c r="M408" s="532">
        <v>0</v>
      </c>
      <c r="N408" s="529">
        <f>IFERROR(VLOOKUP($B408,'3.Tasks'!$BK$4:$BO$23,5,FALSE),0)</f>
        <v>0</v>
      </c>
      <c r="O408" s="532">
        <v>0</v>
      </c>
      <c r="P408" s="530">
        <f t="shared" si="58"/>
        <v>0</v>
      </c>
      <c r="AJ408" s="110"/>
      <c r="AK408" s="110"/>
      <c r="AL408" s="110"/>
      <c r="AM408" s="110"/>
      <c r="AN408" s="110"/>
      <c r="AO408" s="110"/>
      <c r="AP408" s="110"/>
      <c r="AQ408" s="110"/>
      <c r="AR408" s="110"/>
      <c r="AS408" s="110"/>
      <c r="AT408" s="110"/>
      <c r="AU408" s="110"/>
      <c r="AV408" s="110"/>
      <c r="AW408" s="110"/>
      <c r="AX408" s="110"/>
      <c r="AY408" s="110"/>
      <c r="AZ408" s="110"/>
      <c r="BA408" s="110"/>
      <c r="BB408" s="110"/>
      <c r="BC408" s="110"/>
      <c r="BD408" s="110"/>
      <c r="BE408" s="110"/>
      <c r="BF408" s="110"/>
      <c r="BG408" s="110"/>
      <c r="BH408" s="110"/>
      <c r="BI408" s="110"/>
      <c r="BJ408" s="110"/>
      <c r="BK408" s="110"/>
      <c r="BL408" s="110"/>
    </row>
    <row r="409" spans="1:64">
      <c r="A409" s="529">
        <f t="shared" si="60"/>
        <v>11</v>
      </c>
      <c r="B409" s="529" t="s">
        <v>825</v>
      </c>
      <c r="C409" s="529" t="s">
        <v>25</v>
      </c>
      <c r="D409" s="529" t="str">
        <f>VLOOKUP(A409,Tabela8[[No.]:[Institution**]],9,FALSE)</f>
        <v>FCiências.ID</v>
      </c>
      <c r="E409" s="531" t="s">
        <v>41</v>
      </c>
      <c r="F409" s="529">
        <f>HLOOKUP(C409,'5.Equipments'!$AJ$2:$BC$22,(A409+1),FALSE)</f>
        <v>0</v>
      </c>
      <c r="G409" s="526">
        <f t="shared" si="57"/>
        <v>0</v>
      </c>
      <c r="H409" s="525">
        <f>IFERROR(VLOOKUP($B409,'3.Tasks'!$BK$4:$BO$23,2,FALSE),0)</f>
        <v>0</v>
      </c>
      <c r="I409" s="529">
        <f t="shared" si="59"/>
        <v>0</v>
      </c>
      <c r="J409" s="529">
        <f>IFERROR(VLOOKUP($B409,'3.Tasks'!$BK$4:$BO$23,3,FALSE),0)</f>
        <v>0</v>
      </c>
      <c r="K409" s="532">
        <v>0</v>
      </c>
      <c r="L409" s="529">
        <f>IFERROR(VLOOKUP($B409,'3.Tasks'!$BK$4:$BO$23,4,FALSE),0)</f>
        <v>0</v>
      </c>
      <c r="M409" s="532">
        <v>0</v>
      </c>
      <c r="N409" s="529">
        <f>IFERROR(VLOOKUP($B409,'3.Tasks'!$BK$4:$BO$23,5,FALSE),0)</f>
        <v>0</v>
      </c>
      <c r="O409" s="532">
        <v>0</v>
      </c>
      <c r="P409" s="530">
        <f t="shared" si="58"/>
        <v>0</v>
      </c>
      <c r="AJ409" s="110"/>
      <c r="AK409" s="110"/>
      <c r="AL409" s="110"/>
      <c r="AM409" s="110"/>
      <c r="AN409" s="110"/>
      <c r="AO409" s="110"/>
      <c r="AP409" s="110"/>
      <c r="AQ409" s="110"/>
      <c r="AR409" s="110"/>
      <c r="AS409" s="110"/>
      <c r="AT409" s="110"/>
      <c r="AU409" s="110"/>
      <c r="AV409" s="110"/>
      <c r="AW409" s="110"/>
      <c r="AX409" s="110"/>
      <c r="AY409" s="110"/>
      <c r="AZ409" s="110"/>
      <c r="BA409" s="110"/>
      <c r="BB409" s="110"/>
      <c r="BC409" s="110"/>
      <c r="BD409" s="110"/>
      <c r="BE409" s="110"/>
      <c r="BF409" s="110"/>
      <c r="BG409" s="110"/>
      <c r="BH409" s="110"/>
      <c r="BI409" s="110"/>
      <c r="BJ409" s="110"/>
      <c r="BK409" s="110"/>
      <c r="BL409" s="110"/>
    </row>
    <row r="410" spans="1:64">
      <c r="A410" s="529">
        <f t="shared" si="60"/>
        <v>11</v>
      </c>
      <c r="B410" s="529" t="s">
        <v>826</v>
      </c>
      <c r="C410" s="529" t="s">
        <v>26</v>
      </c>
      <c r="D410" s="529" t="str">
        <f>VLOOKUP(A410,Tabela8[[No.]:[Institution**]],9,FALSE)</f>
        <v>FCiências.ID</v>
      </c>
      <c r="E410" s="531" t="s">
        <v>41</v>
      </c>
      <c r="F410" s="529">
        <f>HLOOKUP(C410,'5.Equipments'!$AJ$2:$BC$22,(A410+1),FALSE)</f>
        <v>0</v>
      </c>
      <c r="G410" s="526">
        <f t="shared" si="57"/>
        <v>0</v>
      </c>
      <c r="H410" s="525">
        <f>IFERROR(VLOOKUP($B410,'3.Tasks'!$BK$4:$BO$23,2,FALSE),0)</f>
        <v>0</v>
      </c>
      <c r="I410" s="529">
        <f t="shared" si="59"/>
        <v>0</v>
      </c>
      <c r="J410" s="529">
        <f>IFERROR(VLOOKUP($B410,'3.Tasks'!$BK$4:$BO$23,3,FALSE),0)</f>
        <v>0</v>
      </c>
      <c r="K410" s="532">
        <v>0</v>
      </c>
      <c r="L410" s="529">
        <f>IFERROR(VLOOKUP($B410,'3.Tasks'!$BK$4:$BO$23,4,FALSE),0)</f>
        <v>0</v>
      </c>
      <c r="M410" s="532">
        <v>0</v>
      </c>
      <c r="N410" s="529">
        <f>IFERROR(VLOOKUP($B410,'3.Tasks'!$BK$4:$BO$23,5,FALSE),0)</f>
        <v>0</v>
      </c>
      <c r="O410" s="532">
        <v>0</v>
      </c>
      <c r="P410" s="530">
        <f t="shared" si="58"/>
        <v>0</v>
      </c>
      <c r="AJ410" s="110"/>
      <c r="AK410" s="110"/>
      <c r="AL410" s="110"/>
      <c r="AM410" s="110"/>
      <c r="AN410" s="110"/>
      <c r="AO410" s="110"/>
      <c r="AP410" s="110"/>
      <c r="AQ410" s="110"/>
      <c r="AR410" s="110"/>
      <c r="AS410" s="110"/>
      <c r="AT410" s="110"/>
      <c r="AU410" s="110"/>
      <c r="AV410" s="110"/>
      <c r="AW410" s="110"/>
      <c r="AX410" s="110"/>
      <c r="AY410" s="110"/>
      <c r="AZ410" s="110"/>
      <c r="BA410" s="110"/>
      <c r="BB410" s="110"/>
      <c r="BC410" s="110"/>
      <c r="BD410" s="110"/>
      <c r="BE410" s="110"/>
      <c r="BF410" s="110"/>
      <c r="BG410" s="110"/>
      <c r="BH410" s="110"/>
      <c r="BI410" s="110"/>
      <c r="BJ410" s="110"/>
      <c r="BK410" s="110"/>
      <c r="BL410" s="110"/>
    </row>
    <row r="411" spans="1:64">
      <c r="A411" s="529">
        <f t="shared" si="60"/>
        <v>11</v>
      </c>
      <c r="B411" s="529" t="s">
        <v>827</v>
      </c>
      <c r="C411" s="529" t="s">
        <v>27</v>
      </c>
      <c r="D411" s="529" t="str">
        <f>VLOOKUP(A411,Tabela8[[No.]:[Institution**]],9,FALSE)</f>
        <v>FCiências.ID</v>
      </c>
      <c r="E411" s="531" t="s">
        <v>41</v>
      </c>
      <c r="F411" s="529">
        <f>HLOOKUP(C411,'5.Equipments'!$AJ$2:$BC$22,(A411+1),FALSE)</f>
        <v>0</v>
      </c>
      <c r="G411" s="526">
        <f t="shared" si="57"/>
        <v>0</v>
      </c>
      <c r="H411" s="525">
        <f>IFERROR(VLOOKUP($B411,'3.Tasks'!$BK$4:$BO$23,2,FALSE),0)</f>
        <v>0</v>
      </c>
      <c r="I411" s="529">
        <f t="shared" si="59"/>
        <v>0</v>
      </c>
      <c r="J411" s="529">
        <f>IFERROR(VLOOKUP($B411,'3.Tasks'!$BK$4:$BO$23,3,FALSE),0)</f>
        <v>0</v>
      </c>
      <c r="K411" s="532">
        <v>0</v>
      </c>
      <c r="L411" s="529">
        <f>IFERROR(VLOOKUP($B411,'3.Tasks'!$BK$4:$BO$23,4,FALSE),0)</f>
        <v>0</v>
      </c>
      <c r="M411" s="532">
        <v>0</v>
      </c>
      <c r="N411" s="529">
        <f>IFERROR(VLOOKUP($B411,'3.Tasks'!$BK$4:$BO$23,5,FALSE),0)</f>
        <v>0</v>
      </c>
      <c r="O411" s="532">
        <v>0</v>
      </c>
      <c r="P411" s="530">
        <f t="shared" si="58"/>
        <v>0</v>
      </c>
      <c r="AJ411" s="110"/>
      <c r="AK411" s="110"/>
      <c r="AL411" s="110"/>
      <c r="AM411" s="110"/>
      <c r="AN411" s="110"/>
      <c r="AO411" s="110"/>
      <c r="AP411" s="110"/>
      <c r="AQ411" s="110"/>
      <c r="AR411" s="110"/>
      <c r="AS411" s="110"/>
      <c r="AT411" s="110"/>
      <c r="AU411" s="110"/>
      <c r="AV411" s="110"/>
      <c r="AW411" s="110"/>
      <c r="AX411" s="110"/>
      <c r="AY411" s="110"/>
      <c r="AZ411" s="110"/>
      <c r="BA411" s="110"/>
      <c r="BB411" s="110"/>
      <c r="BC411" s="110"/>
      <c r="BD411" s="110"/>
      <c r="BE411" s="110"/>
      <c r="BF411" s="110"/>
      <c r="BG411" s="110"/>
      <c r="BH411" s="110"/>
      <c r="BI411" s="110"/>
      <c r="BJ411" s="110"/>
      <c r="BK411" s="110"/>
      <c r="BL411" s="110"/>
    </row>
    <row r="412" spans="1:64">
      <c r="A412" s="529">
        <f t="shared" si="60"/>
        <v>11</v>
      </c>
      <c r="B412" s="529" t="s">
        <v>828</v>
      </c>
      <c r="C412" s="529" t="s">
        <v>28</v>
      </c>
      <c r="D412" s="529" t="str">
        <f>VLOOKUP(A412,Tabela8[[No.]:[Institution**]],9,FALSE)</f>
        <v>FCiências.ID</v>
      </c>
      <c r="E412" s="531" t="s">
        <v>41</v>
      </c>
      <c r="F412" s="529">
        <f>HLOOKUP(C412,'5.Equipments'!$AJ$2:$BC$22,(A412+1),FALSE)</f>
        <v>0</v>
      </c>
      <c r="G412" s="526">
        <f t="shared" si="57"/>
        <v>0</v>
      </c>
      <c r="H412" s="525">
        <f>IFERROR(VLOOKUP($B412,'3.Tasks'!$BK$4:$BO$23,2,FALSE),0)</f>
        <v>0</v>
      </c>
      <c r="I412" s="529">
        <f t="shared" si="59"/>
        <v>0</v>
      </c>
      <c r="J412" s="529">
        <f>IFERROR(VLOOKUP($B412,'3.Tasks'!$BK$4:$BO$23,3,FALSE),0)</f>
        <v>0</v>
      </c>
      <c r="K412" s="532">
        <v>0</v>
      </c>
      <c r="L412" s="529">
        <f>IFERROR(VLOOKUP($B412,'3.Tasks'!$BK$4:$BO$23,4,FALSE),0)</f>
        <v>0</v>
      </c>
      <c r="M412" s="532">
        <v>0</v>
      </c>
      <c r="N412" s="529">
        <f>IFERROR(VLOOKUP($B412,'3.Tasks'!$BK$4:$BO$23,5,FALSE),0)</f>
        <v>0</v>
      </c>
      <c r="O412" s="532">
        <v>0</v>
      </c>
      <c r="P412" s="530">
        <f t="shared" si="58"/>
        <v>0</v>
      </c>
      <c r="AJ412" s="110"/>
      <c r="AK412" s="110"/>
      <c r="AL412" s="110"/>
      <c r="AM412" s="110"/>
      <c r="AN412" s="110"/>
      <c r="AO412" s="110"/>
      <c r="AP412" s="110"/>
      <c r="AQ412" s="110"/>
      <c r="AR412" s="110"/>
      <c r="AS412" s="110"/>
      <c r="AT412" s="110"/>
      <c r="AU412" s="110"/>
      <c r="AV412" s="110"/>
      <c r="AW412" s="110"/>
      <c r="AX412" s="110"/>
      <c r="AY412" s="110"/>
      <c r="AZ412" s="110"/>
      <c r="BA412" s="110"/>
      <c r="BB412" s="110"/>
      <c r="BC412" s="110"/>
      <c r="BD412" s="110"/>
      <c r="BE412" s="110"/>
      <c r="BF412" s="110"/>
      <c r="BG412" s="110"/>
      <c r="BH412" s="110"/>
      <c r="BI412" s="110"/>
      <c r="BJ412" s="110"/>
      <c r="BK412" s="110"/>
      <c r="BL412" s="110"/>
    </row>
    <row r="413" spans="1:64">
      <c r="A413" s="529">
        <f t="shared" si="60"/>
        <v>11</v>
      </c>
      <c r="B413" s="529" t="s">
        <v>829</v>
      </c>
      <c r="C413" s="529" t="s">
        <v>29</v>
      </c>
      <c r="D413" s="529" t="str">
        <f>VLOOKUP(A413,Tabela8[[No.]:[Institution**]],9,FALSE)</f>
        <v>FCiências.ID</v>
      </c>
      <c r="E413" s="531" t="s">
        <v>41</v>
      </c>
      <c r="F413" s="529">
        <f>HLOOKUP(C413,'5.Equipments'!$AJ$2:$BC$22,(A413+1),FALSE)</f>
        <v>0</v>
      </c>
      <c r="G413" s="526">
        <f t="shared" si="57"/>
        <v>0</v>
      </c>
      <c r="H413" s="525">
        <f>IFERROR(VLOOKUP($B413,'3.Tasks'!$BK$4:$BO$23,2,FALSE),0)</f>
        <v>0</v>
      </c>
      <c r="I413" s="529">
        <f t="shared" si="59"/>
        <v>0</v>
      </c>
      <c r="J413" s="529">
        <f>IFERROR(VLOOKUP($B413,'3.Tasks'!$BK$4:$BO$23,3,FALSE),0)</f>
        <v>0</v>
      </c>
      <c r="K413" s="532">
        <v>0</v>
      </c>
      <c r="L413" s="529">
        <f>IFERROR(VLOOKUP($B413,'3.Tasks'!$BK$4:$BO$23,4,FALSE),0)</f>
        <v>0</v>
      </c>
      <c r="M413" s="532">
        <v>0</v>
      </c>
      <c r="N413" s="529">
        <f>IFERROR(VLOOKUP($B413,'3.Tasks'!$BK$4:$BO$23,5,FALSE),0)</f>
        <v>0</v>
      </c>
      <c r="O413" s="532">
        <v>0</v>
      </c>
      <c r="P413" s="530">
        <f t="shared" si="58"/>
        <v>0</v>
      </c>
      <c r="AJ413" s="110"/>
      <c r="AK413" s="110"/>
      <c r="AL413" s="110"/>
      <c r="AM413" s="110"/>
      <c r="AN413" s="110"/>
      <c r="AO413" s="110"/>
      <c r="AP413" s="110"/>
      <c r="AQ413" s="110"/>
      <c r="AR413" s="110"/>
      <c r="AS413" s="110"/>
      <c r="AT413" s="110"/>
      <c r="AU413" s="110"/>
      <c r="AV413" s="110"/>
      <c r="AW413" s="110"/>
      <c r="AX413" s="110"/>
      <c r="AY413" s="110"/>
      <c r="AZ413" s="110"/>
      <c r="BA413" s="110"/>
      <c r="BB413" s="110"/>
      <c r="BC413" s="110"/>
      <c r="BD413" s="110"/>
      <c r="BE413" s="110"/>
      <c r="BF413" s="110"/>
      <c r="BG413" s="110"/>
      <c r="BH413" s="110"/>
      <c r="BI413" s="110"/>
      <c r="BJ413" s="110"/>
      <c r="BK413" s="110"/>
      <c r="BL413" s="110"/>
    </row>
    <row r="414" spans="1:64">
      <c r="A414" s="529">
        <f t="shared" si="60"/>
        <v>11</v>
      </c>
      <c r="B414" s="529" t="s">
        <v>830</v>
      </c>
      <c r="C414" s="529" t="s">
        <v>30</v>
      </c>
      <c r="D414" s="529" t="str">
        <f>VLOOKUP(A414,Tabela8[[No.]:[Institution**]],9,FALSE)</f>
        <v>FCiências.ID</v>
      </c>
      <c r="E414" s="531" t="s">
        <v>41</v>
      </c>
      <c r="F414" s="529">
        <f>HLOOKUP(C414,'5.Equipments'!$AJ$2:$BC$22,(A414+1),FALSE)</f>
        <v>0</v>
      </c>
      <c r="G414" s="526">
        <f t="shared" si="57"/>
        <v>0</v>
      </c>
      <c r="H414" s="525">
        <f>IFERROR(VLOOKUP($B414,'3.Tasks'!$BK$4:$BO$23,2,FALSE),0)</f>
        <v>0</v>
      </c>
      <c r="I414" s="529">
        <f t="shared" si="59"/>
        <v>0</v>
      </c>
      <c r="J414" s="529">
        <f>IFERROR(VLOOKUP($B414,'3.Tasks'!$BK$4:$BO$23,3,FALSE),0)</f>
        <v>0</v>
      </c>
      <c r="K414" s="532">
        <v>0</v>
      </c>
      <c r="L414" s="529">
        <f>IFERROR(VLOOKUP($B414,'3.Tasks'!$BK$4:$BO$23,4,FALSE),0)</f>
        <v>0</v>
      </c>
      <c r="M414" s="532">
        <v>0</v>
      </c>
      <c r="N414" s="529">
        <f>IFERROR(VLOOKUP($B414,'3.Tasks'!$BK$4:$BO$23,5,FALSE),0)</f>
        <v>0</v>
      </c>
      <c r="O414" s="532">
        <v>0</v>
      </c>
      <c r="P414" s="530">
        <f t="shared" si="58"/>
        <v>0</v>
      </c>
      <c r="AJ414" s="110"/>
      <c r="AK414" s="110"/>
      <c r="AL414" s="110"/>
      <c r="AM414" s="110"/>
      <c r="AN414" s="110"/>
      <c r="AO414" s="110"/>
      <c r="AP414" s="110"/>
      <c r="AQ414" s="110"/>
      <c r="AR414" s="110"/>
      <c r="AS414" s="110"/>
      <c r="AT414" s="110"/>
      <c r="AU414" s="110"/>
      <c r="AV414" s="110"/>
      <c r="AW414" s="110"/>
      <c r="AX414" s="110"/>
      <c r="AY414" s="110"/>
      <c r="AZ414" s="110"/>
      <c r="BA414" s="110"/>
      <c r="BB414" s="110"/>
      <c r="BC414" s="110"/>
      <c r="BD414" s="110"/>
      <c r="BE414" s="110"/>
      <c r="BF414" s="110"/>
      <c r="BG414" s="110"/>
      <c r="BH414" s="110"/>
      <c r="BI414" s="110"/>
      <c r="BJ414" s="110"/>
      <c r="BK414" s="110"/>
      <c r="BL414" s="110"/>
    </row>
    <row r="415" spans="1:64">
      <c r="A415" s="529">
        <f t="shared" si="60"/>
        <v>11</v>
      </c>
      <c r="B415" s="529" t="s">
        <v>831</v>
      </c>
      <c r="C415" s="529" t="s">
        <v>31</v>
      </c>
      <c r="D415" s="529" t="str">
        <f>VLOOKUP(A415,Tabela8[[No.]:[Institution**]],9,FALSE)</f>
        <v>FCiências.ID</v>
      </c>
      <c r="E415" s="531" t="s">
        <v>41</v>
      </c>
      <c r="F415" s="529">
        <f>HLOOKUP(C415,'5.Equipments'!$AJ$2:$BC$22,(A415+1),FALSE)</f>
        <v>0</v>
      </c>
      <c r="G415" s="526">
        <f t="shared" si="57"/>
        <v>0</v>
      </c>
      <c r="H415" s="525">
        <f>IFERROR(VLOOKUP($B415,'3.Tasks'!$BK$4:$BO$23,2,FALSE),0)</f>
        <v>0</v>
      </c>
      <c r="I415" s="529">
        <f t="shared" si="59"/>
        <v>0</v>
      </c>
      <c r="J415" s="529">
        <f>IFERROR(VLOOKUP($B415,'3.Tasks'!$BK$4:$BO$23,3,FALSE),0)</f>
        <v>0</v>
      </c>
      <c r="K415" s="532">
        <v>0</v>
      </c>
      <c r="L415" s="529">
        <f>IFERROR(VLOOKUP($B415,'3.Tasks'!$BK$4:$BO$23,4,FALSE),0)</f>
        <v>0</v>
      </c>
      <c r="M415" s="532">
        <v>0</v>
      </c>
      <c r="N415" s="529">
        <f>IFERROR(VLOOKUP($B415,'3.Tasks'!$BK$4:$BO$23,5,FALSE),0)</f>
        <v>0</v>
      </c>
      <c r="O415" s="532">
        <v>0</v>
      </c>
      <c r="P415" s="530">
        <f t="shared" si="58"/>
        <v>0</v>
      </c>
    </row>
    <row r="416" spans="1:64">
      <c r="A416" s="529">
        <f t="shared" si="60"/>
        <v>11</v>
      </c>
      <c r="B416" s="529" t="s">
        <v>832</v>
      </c>
      <c r="C416" s="529" t="s">
        <v>32</v>
      </c>
      <c r="D416" s="529" t="str">
        <f>VLOOKUP(A416,Tabela8[[No.]:[Institution**]],9,FALSE)</f>
        <v>FCiências.ID</v>
      </c>
      <c r="E416" s="531" t="s">
        <v>41</v>
      </c>
      <c r="F416" s="529">
        <f>HLOOKUP(C416,'5.Equipments'!$AJ$2:$BC$22,(A416+1),FALSE)</f>
        <v>0</v>
      </c>
      <c r="G416" s="526">
        <f t="shared" si="57"/>
        <v>0</v>
      </c>
      <c r="H416" s="525">
        <f>IFERROR(VLOOKUP($B416,'3.Tasks'!$BK$4:$BO$23,2,FALSE),0)</f>
        <v>0</v>
      </c>
      <c r="I416" s="529">
        <f t="shared" si="59"/>
        <v>0</v>
      </c>
      <c r="J416" s="529">
        <f>IFERROR(VLOOKUP($B416,'3.Tasks'!$BK$4:$BO$23,3,FALSE),0)</f>
        <v>0</v>
      </c>
      <c r="K416" s="532">
        <v>0</v>
      </c>
      <c r="L416" s="529">
        <f>IFERROR(VLOOKUP($B416,'3.Tasks'!$BK$4:$BO$23,4,FALSE),0)</f>
        <v>0</v>
      </c>
      <c r="M416" s="532">
        <v>0</v>
      </c>
      <c r="N416" s="529">
        <f>IFERROR(VLOOKUP($B416,'3.Tasks'!$BK$4:$BO$23,5,FALSE),0)</f>
        <v>0</v>
      </c>
      <c r="O416" s="532">
        <v>0</v>
      </c>
      <c r="P416" s="530">
        <f t="shared" si="58"/>
        <v>0</v>
      </c>
    </row>
    <row r="417" spans="1:16">
      <c r="A417" s="529">
        <f t="shared" si="60"/>
        <v>11</v>
      </c>
      <c r="B417" s="529" t="s">
        <v>833</v>
      </c>
      <c r="C417" s="529" t="s">
        <v>33</v>
      </c>
      <c r="D417" s="529" t="str">
        <f>VLOOKUP(A417,Tabela8[[No.]:[Institution**]],9,FALSE)</f>
        <v>FCiências.ID</v>
      </c>
      <c r="E417" s="531" t="s">
        <v>41</v>
      </c>
      <c r="F417" s="529">
        <f>HLOOKUP(C417,'5.Equipments'!$AJ$2:$BC$22,(A417+1),FALSE)</f>
        <v>0</v>
      </c>
      <c r="G417" s="526">
        <f t="shared" si="57"/>
        <v>0</v>
      </c>
      <c r="H417" s="525">
        <f>IFERROR(VLOOKUP($B417,'3.Tasks'!$BK$4:$BO$23,2,FALSE),0)</f>
        <v>0</v>
      </c>
      <c r="I417" s="529">
        <f t="shared" si="59"/>
        <v>0</v>
      </c>
      <c r="J417" s="529">
        <f>IFERROR(VLOOKUP($B417,'3.Tasks'!$BK$4:$BO$23,3,FALSE),0)</f>
        <v>0</v>
      </c>
      <c r="K417" s="532">
        <v>0</v>
      </c>
      <c r="L417" s="529">
        <f>IFERROR(VLOOKUP($B417,'3.Tasks'!$BK$4:$BO$23,4,FALSE),0)</f>
        <v>0</v>
      </c>
      <c r="M417" s="532">
        <v>0</v>
      </c>
      <c r="N417" s="529">
        <f>IFERROR(VLOOKUP($B417,'3.Tasks'!$BK$4:$BO$23,5,FALSE),0)</f>
        <v>0</v>
      </c>
      <c r="O417" s="532">
        <v>0</v>
      </c>
      <c r="P417" s="530">
        <f t="shared" si="58"/>
        <v>0</v>
      </c>
    </row>
    <row r="418" spans="1:16">
      <c r="A418" s="529">
        <f t="shared" si="60"/>
        <v>11</v>
      </c>
      <c r="B418" s="529" t="s">
        <v>834</v>
      </c>
      <c r="C418" s="529" t="s">
        <v>34</v>
      </c>
      <c r="D418" s="529" t="str">
        <f>VLOOKUP(A418,Tabela8[[No.]:[Institution**]],9,FALSE)</f>
        <v>FCiências.ID</v>
      </c>
      <c r="E418" s="531" t="s">
        <v>41</v>
      </c>
      <c r="F418" s="529">
        <f>HLOOKUP(C418,'5.Equipments'!$AJ$2:$BC$22,(A418+1),FALSE)</f>
        <v>0</v>
      </c>
      <c r="G418" s="526">
        <f t="shared" si="57"/>
        <v>0</v>
      </c>
      <c r="H418" s="525">
        <f>IFERROR(VLOOKUP($B418,'3.Tasks'!$BK$4:$BO$23,2,FALSE),0)</f>
        <v>0</v>
      </c>
      <c r="I418" s="529">
        <f t="shared" si="59"/>
        <v>0</v>
      </c>
      <c r="J418" s="529">
        <f>IFERROR(VLOOKUP($B418,'3.Tasks'!$BK$4:$BO$23,3,FALSE),0)</f>
        <v>0</v>
      </c>
      <c r="K418" s="532">
        <v>0</v>
      </c>
      <c r="L418" s="529">
        <f>IFERROR(VLOOKUP($B418,'3.Tasks'!$BK$4:$BO$23,4,FALSE),0)</f>
        <v>0</v>
      </c>
      <c r="M418" s="532">
        <v>0</v>
      </c>
      <c r="N418" s="529">
        <f>IFERROR(VLOOKUP($B418,'3.Tasks'!$BK$4:$BO$23,5,FALSE),0)</f>
        <v>0</v>
      </c>
      <c r="O418" s="532">
        <v>0</v>
      </c>
      <c r="P418" s="530">
        <f t="shared" si="58"/>
        <v>0</v>
      </c>
    </row>
    <row r="419" spans="1:16">
      <c r="A419" s="529">
        <f t="shared" si="60"/>
        <v>11</v>
      </c>
      <c r="B419" s="529" t="s">
        <v>835</v>
      </c>
      <c r="C419" s="529" t="s">
        <v>35</v>
      </c>
      <c r="D419" s="529" t="str">
        <f>VLOOKUP(A419,Tabela8[[No.]:[Institution**]],9,FALSE)</f>
        <v>FCiências.ID</v>
      </c>
      <c r="E419" s="531" t="s">
        <v>41</v>
      </c>
      <c r="F419" s="529">
        <f>HLOOKUP(C419,'5.Equipments'!$AJ$2:$BC$22,(A419+1),FALSE)</f>
        <v>0</v>
      </c>
      <c r="G419" s="526">
        <f t="shared" si="57"/>
        <v>0</v>
      </c>
      <c r="H419" s="525">
        <f>IFERROR(VLOOKUP($B419,'3.Tasks'!$BK$4:$BO$23,2,FALSE),0)</f>
        <v>0</v>
      </c>
      <c r="I419" s="529">
        <f t="shared" si="59"/>
        <v>0</v>
      </c>
      <c r="J419" s="529">
        <f>IFERROR(VLOOKUP($B419,'3.Tasks'!$BK$4:$BO$23,3,FALSE),0)</f>
        <v>0</v>
      </c>
      <c r="K419" s="532">
        <v>0</v>
      </c>
      <c r="L419" s="529">
        <f>IFERROR(VLOOKUP($B419,'3.Tasks'!$BK$4:$BO$23,4,FALSE),0)</f>
        <v>0</v>
      </c>
      <c r="M419" s="532">
        <v>0</v>
      </c>
      <c r="N419" s="529">
        <f>IFERROR(VLOOKUP($B419,'3.Tasks'!$BK$4:$BO$23,5,FALSE),0)</f>
        <v>0</v>
      </c>
      <c r="O419" s="532">
        <v>0</v>
      </c>
      <c r="P419" s="530">
        <f t="shared" si="58"/>
        <v>0</v>
      </c>
    </row>
    <row r="420" spans="1:16">
      <c r="A420" s="529">
        <f t="shared" si="60"/>
        <v>11</v>
      </c>
      <c r="B420" s="529" t="s">
        <v>836</v>
      </c>
      <c r="C420" s="529" t="s">
        <v>36</v>
      </c>
      <c r="D420" s="529" t="str">
        <f>VLOOKUP(A420,Tabela8[[No.]:[Institution**]],9,FALSE)</f>
        <v>FCiências.ID</v>
      </c>
      <c r="E420" s="531" t="s">
        <v>41</v>
      </c>
      <c r="F420" s="529">
        <f>HLOOKUP(C420,'5.Equipments'!$AJ$2:$BC$22,(A420+1),FALSE)</f>
        <v>0</v>
      </c>
      <c r="G420" s="526">
        <f t="shared" si="57"/>
        <v>0</v>
      </c>
      <c r="H420" s="525">
        <f>IFERROR(VLOOKUP($B420,'3.Tasks'!$BK$4:$BO$23,2,FALSE),0)</f>
        <v>0</v>
      </c>
      <c r="I420" s="529">
        <f t="shared" si="59"/>
        <v>0</v>
      </c>
      <c r="J420" s="529">
        <f>IFERROR(VLOOKUP($B420,'3.Tasks'!$BK$4:$BO$23,3,FALSE),0)</f>
        <v>0</v>
      </c>
      <c r="K420" s="532">
        <v>0</v>
      </c>
      <c r="L420" s="529">
        <f>IFERROR(VLOOKUP($B420,'3.Tasks'!$BK$4:$BO$23,4,FALSE),0)</f>
        <v>0</v>
      </c>
      <c r="M420" s="532">
        <v>0</v>
      </c>
      <c r="N420" s="529">
        <f>IFERROR(VLOOKUP($B420,'3.Tasks'!$BK$4:$BO$23,5,FALSE),0)</f>
        <v>0</v>
      </c>
      <c r="O420" s="532">
        <v>0</v>
      </c>
      <c r="P420" s="530">
        <f t="shared" si="58"/>
        <v>0</v>
      </c>
    </row>
    <row r="421" spans="1:16">
      <c r="A421" s="529">
        <f t="shared" si="60"/>
        <v>11</v>
      </c>
      <c r="B421" s="529" t="s">
        <v>837</v>
      </c>
      <c r="C421" s="529" t="s">
        <v>37</v>
      </c>
      <c r="D421" s="529" t="str">
        <f>VLOOKUP(A421,Tabela8[[No.]:[Institution**]],9,FALSE)</f>
        <v>FCiências.ID</v>
      </c>
      <c r="E421" s="531" t="s">
        <v>41</v>
      </c>
      <c r="F421" s="529">
        <f>HLOOKUP(C421,'5.Equipments'!$AJ$2:$BC$22,(A421+1),FALSE)</f>
        <v>0</v>
      </c>
      <c r="G421" s="526">
        <f t="shared" si="57"/>
        <v>0</v>
      </c>
      <c r="H421" s="525">
        <f>IFERROR(VLOOKUP($B421,'3.Tasks'!$BK$4:$BO$23,2,FALSE),0)</f>
        <v>0</v>
      </c>
      <c r="I421" s="529">
        <f t="shared" si="59"/>
        <v>0</v>
      </c>
      <c r="J421" s="529">
        <f>IFERROR(VLOOKUP($B421,'3.Tasks'!$BK$4:$BO$23,3,FALSE),0)</f>
        <v>0</v>
      </c>
      <c r="K421" s="532">
        <v>0</v>
      </c>
      <c r="L421" s="529">
        <f>IFERROR(VLOOKUP($B421,'3.Tasks'!$BK$4:$BO$23,4,FALSE),0)</f>
        <v>0</v>
      </c>
      <c r="M421" s="532">
        <v>0</v>
      </c>
      <c r="N421" s="529">
        <f>IFERROR(VLOOKUP($B421,'3.Tasks'!$BK$4:$BO$23,5,FALSE),0)</f>
        <v>0</v>
      </c>
      <c r="O421" s="532">
        <v>0</v>
      </c>
      <c r="P421" s="530">
        <f t="shared" si="58"/>
        <v>0</v>
      </c>
    </row>
    <row r="422" spans="1:16">
      <c r="A422" s="529">
        <v>12</v>
      </c>
      <c r="B422" s="529" t="s">
        <v>818</v>
      </c>
      <c r="C422" s="529" t="s">
        <v>18</v>
      </c>
      <c r="D422" s="529" t="str">
        <f>VLOOKUP(A422,Tabela8[[No.]:[Institution**]],9,FALSE)</f>
        <v>FCiências.ID</v>
      </c>
      <c r="E422" s="531" t="s">
        <v>41</v>
      </c>
      <c r="F422" s="529">
        <f>HLOOKUP(C422,'5.Equipments'!$AJ$2:$BC$22,(A422+1),FALSE)</f>
        <v>0</v>
      </c>
      <c r="G422" s="526">
        <f t="shared" si="57"/>
        <v>0</v>
      </c>
      <c r="H422" s="525">
        <f>IFERROR(VLOOKUP($B422,'3.Tasks'!$BK$4:$BO$23,2,FALSE),0)</f>
        <v>0</v>
      </c>
      <c r="I422" s="529">
        <f t="shared" si="59"/>
        <v>0</v>
      </c>
      <c r="J422" s="529">
        <f>IFERROR(VLOOKUP($B422,'3.Tasks'!$BK$4:$BO$23,3,FALSE),0)</f>
        <v>0</v>
      </c>
      <c r="K422" s="532">
        <v>0</v>
      </c>
      <c r="L422" s="529">
        <f>IFERROR(VLOOKUP($B422,'3.Tasks'!$BK$4:$BO$23,4,FALSE),0)</f>
        <v>0</v>
      </c>
      <c r="M422" s="532">
        <v>0</v>
      </c>
      <c r="N422" s="529">
        <f>IFERROR(VLOOKUP($B422,'3.Tasks'!$BK$4:$BO$23,5,FALSE),0)</f>
        <v>0</v>
      </c>
      <c r="O422" s="532">
        <v>0</v>
      </c>
      <c r="P422" s="530">
        <f t="shared" si="58"/>
        <v>0</v>
      </c>
    </row>
    <row r="423" spans="1:16">
      <c r="A423" s="529">
        <f>+A422</f>
        <v>12</v>
      </c>
      <c r="B423" s="529" t="s">
        <v>819</v>
      </c>
      <c r="C423" s="529" t="s">
        <v>19</v>
      </c>
      <c r="D423" s="529" t="str">
        <f>VLOOKUP(A423,Tabela8[[No.]:[Institution**]],9,FALSE)</f>
        <v>FCiências.ID</v>
      </c>
      <c r="E423" s="531" t="s">
        <v>41</v>
      </c>
      <c r="F423" s="529">
        <f>HLOOKUP(C423,'5.Equipments'!$AJ$2:$BC$22,(A423+1),FALSE)</f>
        <v>0</v>
      </c>
      <c r="G423" s="526">
        <f t="shared" si="57"/>
        <v>0</v>
      </c>
      <c r="H423" s="525">
        <f>IFERROR(VLOOKUP($B423,'3.Tasks'!$BK$4:$BO$23,2,FALSE),0)</f>
        <v>0</v>
      </c>
      <c r="I423" s="529">
        <f t="shared" si="59"/>
        <v>0</v>
      </c>
      <c r="J423" s="529">
        <f>IFERROR(VLOOKUP($B423,'3.Tasks'!$BK$4:$BO$23,3,FALSE),0)</f>
        <v>0</v>
      </c>
      <c r="K423" s="532">
        <v>0</v>
      </c>
      <c r="L423" s="529">
        <f>IFERROR(VLOOKUP($B423,'3.Tasks'!$BK$4:$BO$23,4,FALSE),0)</f>
        <v>0</v>
      </c>
      <c r="M423" s="532">
        <v>0</v>
      </c>
      <c r="N423" s="529">
        <f>IFERROR(VLOOKUP($B423,'3.Tasks'!$BK$4:$BO$23,5,FALSE),0)</f>
        <v>0</v>
      </c>
      <c r="O423" s="532">
        <v>0</v>
      </c>
      <c r="P423" s="530">
        <f t="shared" si="58"/>
        <v>0</v>
      </c>
    </row>
    <row r="424" spans="1:16">
      <c r="A424" s="529">
        <f t="shared" ref="A424:A441" si="61">+A423</f>
        <v>12</v>
      </c>
      <c r="B424" s="529" t="s">
        <v>820</v>
      </c>
      <c r="C424" s="529" t="s">
        <v>20</v>
      </c>
      <c r="D424" s="529" t="str">
        <f>VLOOKUP(A424,Tabela8[[No.]:[Institution**]],9,FALSE)</f>
        <v>FCiências.ID</v>
      </c>
      <c r="E424" s="531" t="s">
        <v>41</v>
      </c>
      <c r="F424" s="529">
        <f>HLOOKUP(C424,'5.Equipments'!$AJ$2:$BC$22,(A424+1),FALSE)</f>
        <v>0</v>
      </c>
      <c r="G424" s="526">
        <f t="shared" si="57"/>
        <v>0</v>
      </c>
      <c r="H424" s="525">
        <f>IFERROR(VLOOKUP($B424,'3.Tasks'!$BK$4:$BO$23,2,FALSE),0)</f>
        <v>0</v>
      </c>
      <c r="I424" s="529">
        <f t="shared" si="59"/>
        <v>0</v>
      </c>
      <c r="J424" s="529">
        <f>IFERROR(VLOOKUP($B424,'3.Tasks'!$BK$4:$BO$23,3,FALSE),0)</f>
        <v>0</v>
      </c>
      <c r="K424" s="532">
        <v>0</v>
      </c>
      <c r="L424" s="529">
        <f>IFERROR(VLOOKUP($B424,'3.Tasks'!$BK$4:$BO$23,4,FALSE),0)</f>
        <v>0</v>
      </c>
      <c r="M424" s="532">
        <v>0</v>
      </c>
      <c r="N424" s="529">
        <f>IFERROR(VLOOKUP($B424,'3.Tasks'!$BK$4:$BO$23,5,FALSE),0)</f>
        <v>0</v>
      </c>
      <c r="O424" s="532">
        <v>0</v>
      </c>
      <c r="P424" s="530">
        <f t="shared" si="58"/>
        <v>0</v>
      </c>
    </row>
    <row r="425" spans="1:16">
      <c r="A425" s="529">
        <f t="shared" si="61"/>
        <v>12</v>
      </c>
      <c r="B425" s="529" t="s">
        <v>821</v>
      </c>
      <c r="C425" s="529" t="s">
        <v>21</v>
      </c>
      <c r="D425" s="529" t="str">
        <f>VLOOKUP(A425,Tabela8[[No.]:[Institution**]],9,FALSE)</f>
        <v>FCiências.ID</v>
      </c>
      <c r="E425" s="531" t="s">
        <v>41</v>
      </c>
      <c r="F425" s="529">
        <f>HLOOKUP(C425,'5.Equipments'!$AJ$2:$BC$22,(A425+1),FALSE)</f>
        <v>0</v>
      </c>
      <c r="G425" s="526">
        <f t="shared" si="57"/>
        <v>0</v>
      </c>
      <c r="H425" s="525">
        <f>IFERROR(VLOOKUP($B425,'3.Tasks'!$BK$4:$BO$23,2,FALSE),0)</f>
        <v>0</v>
      </c>
      <c r="I425" s="529">
        <f t="shared" si="59"/>
        <v>0</v>
      </c>
      <c r="J425" s="529">
        <f>IFERROR(VLOOKUP($B425,'3.Tasks'!$BK$4:$BO$23,3,FALSE),0)</f>
        <v>0</v>
      </c>
      <c r="K425" s="532">
        <v>0</v>
      </c>
      <c r="L425" s="529">
        <f>IFERROR(VLOOKUP($B425,'3.Tasks'!$BK$4:$BO$23,4,FALSE),0)</f>
        <v>0</v>
      </c>
      <c r="M425" s="532">
        <v>0</v>
      </c>
      <c r="N425" s="529">
        <f>IFERROR(VLOOKUP($B425,'3.Tasks'!$BK$4:$BO$23,5,FALSE),0)</f>
        <v>0</v>
      </c>
      <c r="O425" s="532">
        <v>0</v>
      </c>
      <c r="P425" s="530">
        <f t="shared" si="58"/>
        <v>0</v>
      </c>
    </row>
    <row r="426" spans="1:16">
      <c r="A426" s="529">
        <f t="shared" si="61"/>
        <v>12</v>
      </c>
      <c r="B426" s="529" t="s">
        <v>822</v>
      </c>
      <c r="C426" s="529" t="s">
        <v>22</v>
      </c>
      <c r="D426" s="529" t="str">
        <f>VLOOKUP(A426,Tabela8[[No.]:[Institution**]],9,FALSE)</f>
        <v>FCiências.ID</v>
      </c>
      <c r="E426" s="531" t="s">
        <v>41</v>
      </c>
      <c r="F426" s="529">
        <f>HLOOKUP(C426,'5.Equipments'!$AJ$2:$BC$22,(A426+1),FALSE)</f>
        <v>0</v>
      </c>
      <c r="G426" s="526">
        <f t="shared" si="57"/>
        <v>0</v>
      </c>
      <c r="H426" s="525">
        <f>IFERROR(VLOOKUP($B426,'3.Tasks'!$BK$4:$BO$23,2,FALSE),0)</f>
        <v>0</v>
      </c>
      <c r="I426" s="529">
        <f t="shared" si="59"/>
        <v>0</v>
      </c>
      <c r="J426" s="529">
        <f>IFERROR(VLOOKUP($B426,'3.Tasks'!$BK$4:$BO$23,3,FALSE),0)</f>
        <v>0</v>
      </c>
      <c r="K426" s="532">
        <v>0</v>
      </c>
      <c r="L426" s="529">
        <f>IFERROR(VLOOKUP($B426,'3.Tasks'!$BK$4:$BO$23,4,FALSE),0)</f>
        <v>0</v>
      </c>
      <c r="M426" s="532">
        <v>0</v>
      </c>
      <c r="N426" s="529">
        <f>IFERROR(VLOOKUP($B426,'3.Tasks'!$BK$4:$BO$23,5,FALSE),0)</f>
        <v>0</v>
      </c>
      <c r="O426" s="532">
        <v>0</v>
      </c>
      <c r="P426" s="530">
        <f t="shared" si="58"/>
        <v>0</v>
      </c>
    </row>
    <row r="427" spans="1:16">
      <c r="A427" s="529">
        <f t="shared" si="61"/>
        <v>12</v>
      </c>
      <c r="B427" s="529" t="s">
        <v>823</v>
      </c>
      <c r="C427" s="529" t="s">
        <v>23</v>
      </c>
      <c r="D427" s="529" t="str">
        <f>VLOOKUP(A427,Tabela8[[No.]:[Institution**]],9,FALSE)</f>
        <v>FCiências.ID</v>
      </c>
      <c r="E427" s="531" t="s">
        <v>41</v>
      </c>
      <c r="F427" s="529">
        <f>HLOOKUP(C427,'5.Equipments'!$AJ$2:$BC$22,(A427+1),FALSE)</f>
        <v>0</v>
      </c>
      <c r="G427" s="526">
        <f t="shared" si="57"/>
        <v>0</v>
      </c>
      <c r="H427" s="525">
        <f>IFERROR(VLOOKUP($B427,'3.Tasks'!$BK$4:$BO$23,2,FALSE),0)</f>
        <v>0</v>
      </c>
      <c r="I427" s="529">
        <f t="shared" si="59"/>
        <v>0</v>
      </c>
      <c r="J427" s="529">
        <f>IFERROR(VLOOKUP($B427,'3.Tasks'!$BK$4:$BO$23,3,FALSE),0)</f>
        <v>0</v>
      </c>
      <c r="K427" s="532">
        <v>0</v>
      </c>
      <c r="L427" s="529">
        <f>IFERROR(VLOOKUP($B427,'3.Tasks'!$BK$4:$BO$23,4,FALSE),0)</f>
        <v>0</v>
      </c>
      <c r="M427" s="532">
        <v>0</v>
      </c>
      <c r="N427" s="529">
        <f>IFERROR(VLOOKUP($B427,'3.Tasks'!$BK$4:$BO$23,5,FALSE),0)</f>
        <v>0</v>
      </c>
      <c r="O427" s="532">
        <v>0</v>
      </c>
      <c r="P427" s="530">
        <f t="shared" si="58"/>
        <v>0</v>
      </c>
    </row>
    <row r="428" spans="1:16">
      <c r="A428" s="529">
        <f t="shared" si="61"/>
        <v>12</v>
      </c>
      <c r="B428" s="529" t="s">
        <v>824</v>
      </c>
      <c r="C428" s="529" t="s">
        <v>24</v>
      </c>
      <c r="D428" s="529" t="str">
        <f>VLOOKUP(A428,Tabela8[[No.]:[Institution**]],9,FALSE)</f>
        <v>FCiências.ID</v>
      </c>
      <c r="E428" s="531" t="s">
        <v>41</v>
      </c>
      <c r="F428" s="529">
        <f>HLOOKUP(C428,'5.Equipments'!$AJ$2:$BC$22,(A428+1),FALSE)</f>
        <v>0</v>
      </c>
      <c r="G428" s="526">
        <f t="shared" si="57"/>
        <v>0</v>
      </c>
      <c r="H428" s="525">
        <f>IFERROR(VLOOKUP($B428,'3.Tasks'!$BK$4:$BO$23,2,FALSE),0)</f>
        <v>0</v>
      </c>
      <c r="I428" s="529">
        <f t="shared" si="59"/>
        <v>0</v>
      </c>
      <c r="J428" s="529">
        <f>IFERROR(VLOOKUP($B428,'3.Tasks'!$BK$4:$BO$23,3,FALSE),0)</f>
        <v>0</v>
      </c>
      <c r="K428" s="532">
        <v>0</v>
      </c>
      <c r="L428" s="529">
        <f>IFERROR(VLOOKUP($B428,'3.Tasks'!$BK$4:$BO$23,4,FALSE),0)</f>
        <v>0</v>
      </c>
      <c r="M428" s="532">
        <v>0</v>
      </c>
      <c r="N428" s="529">
        <f>IFERROR(VLOOKUP($B428,'3.Tasks'!$BK$4:$BO$23,5,FALSE),0)</f>
        <v>0</v>
      </c>
      <c r="O428" s="532">
        <v>0</v>
      </c>
      <c r="P428" s="530">
        <f t="shared" si="58"/>
        <v>0</v>
      </c>
    </row>
    <row r="429" spans="1:16">
      <c r="A429" s="529">
        <f t="shared" si="61"/>
        <v>12</v>
      </c>
      <c r="B429" s="529" t="s">
        <v>825</v>
      </c>
      <c r="C429" s="529" t="s">
        <v>25</v>
      </c>
      <c r="D429" s="529" t="str">
        <f>VLOOKUP(A429,Tabela8[[No.]:[Institution**]],9,FALSE)</f>
        <v>FCiências.ID</v>
      </c>
      <c r="E429" s="531" t="s">
        <v>41</v>
      </c>
      <c r="F429" s="529">
        <f>HLOOKUP(C429,'5.Equipments'!$AJ$2:$BC$22,(A429+1),FALSE)</f>
        <v>0</v>
      </c>
      <c r="G429" s="526">
        <f t="shared" si="57"/>
        <v>0</v>
      </c>
      <c r="H429" s="525">
        <f>IFERROR(VLOOKUP($B429,'3.Tasks'!$BK$4:$BO$23,2,FALSE),0)</f>
        <v>0</v>
      </c>
      <c r="I429" s="529">
        <f t="shared" si="59"/>
        <v>0</v>
      </c>
      <c r="J429" s="529">
        <f>IFERROR(VLOOKUP($B429,'3.Tasks'!$BK$4:$BO$23,3,FALSE),0)</f>
        <v>0</v>
      </c>
      <c r="K429" s="532">
        <v>0</v>
      </c>
      <c r="L429" s="529">
        <f>IFERROR(VLOOKUP($B429,'3.Tasks'!$BK$4:$BO$23,4,FALSE),0)</f>
        <v>0</v>
      </c>
      <c r="M429" s="532">
        <v>0</v>
      </c>
      <c r="N429" s="529">
        <f>IFERROR(VLOOKUP($B429,'3.Tasks'!$BK$4:$BO$23,5,FALSE),0)</f>
        <v>0</v>
      </c>
      <c r="O429" s="532">
        <v>0</v>
      </c>
      <c r="P429" s="530">
        <f t="shared" si="58"/>
        <v>0</v>
      </c>
    </row>
    <row r="430" spans="1:16">
      <c r="A430" s="529">
        <f t="shared" si="61"/>
        <v>12</v>
      </c>
      <c r="B430" s="529" t="s">
        <v>826</v>
      </c>
      <c r="C430" s="529" t="s">
        <v>26</v>
      </c>
      <c r="D430" s="529" t="str">
        <f>VLOOKUP(A430,Tabela8[[No.]:[Institution**]],9,FALSE)</f>
        <v>FCiências.ID</v>
      </c>
      <c r="E430" s="531" t="s">
        <v>41</v>
      </c>
      <c r="F430" s="529">
        <f>HLOOKUP(C430,'5.Equipments'!$AJ$2:$BC$22,(A430+1),FALSE)</f>
        <v>0</v>
      </c>
      <c r="G430" s="526">
        <f t="shared" si="57"/>
        <v>0</v>
      </c>
      <c r="H430" s="525">
        <f>IFERROR(VLOOKUP($B430,'3.Tasks'!$BK$4:$BO$23,2,FALSE),0)</f>
        <v>0</v>
      </c>
      <c r="I430" s="529">
        <f t="shared" si="59"/>
        <v>0</v>
      </c>
      <c r="J430" s="529">
        <f>IFERROR(VLOOKUP($B430,'3.Tasks'!$BK$4:$BO$23,3,FALSE),0)</f>
        <v>0</v>
      </c>
      <c r="K430" s="532">
        <v>0</v>
      </c>
      <c r="L430" s="529">
        <f>IFERROR(VLOOKUP($B430,'3.Tasks'!$BK$4:$BO$23,4,FALSE),0)</f>
        <v>0</v>
      </c>
      <c r="M430" s="532">
        <v>0</v>
      </c>
      <c r="N430" s="529">
        <f>IFERROR(VLOOKUP($B430,'3.Tasks'!$BK$4:$BO$23,5,FALSE),0)</f>
        <v>0</v>
      </c>
      <c r="O430" s="532">
        <v>0</v>
      </c>
      <c r="P430" s="530">
        <f t="shared" si="58"/>
        <v>0</v>
      </c>
    </row>
    <row r="431" spans="1:16">
      <c r="A431" s="529">
        <f t="shared" si="61"/>
        <v>12</v>
      </c>
      <c r="B431" s="529" t="s">
        <v>827</v>
      </c>
      <c r="C431" s="529" t="s">
        <v>27</v>
      </c>
      <c r="D431" s="529" t="str">
        <f>VLOOKUP(A431,Tabela8[[No.]:[Institution**]],9,FALSE)</f>
        <v>FCiências.ID</v>
      </c>
      <c r="E431" s="531" t="s">
        <v>41</v>
      </c>
      <c r="F431" s="529">
        <f>HLOOKUP(C431,'5.Equipments'!$AJ$2:$BC$22,(A431+1),FALSE)</f>
        <v>0</v>
      </c>
      <c r="G431" s="526">
        <f t="shared" si="57"/>
        <v>0</v>
      </c>
      <c r="H431" s="525">
        <f>IFERROR(VLOOKUP($B431,'3.Tasks'!$BK$4:$BO$23,2,FALSE),0)</f>
        <v>0</v>
      </c>
      <c r="I431" s="529">
        <f t="shared" si="59"/>
        <v>0</v>
      </c>
      <c r="J431" s="529">
        <f>IFERROR(VLOOKUP($B431,'3.Tasks'!$BK$4:$BO$23,3,FALSE),0)</f>
        <v>0</v>
      </c>
      <c r="K431" s="532">
        <v>0</v>
      </c>
      <c r="L431" s="529">
        <f>IFERROR(VLOOKUP($B431,'3.Tasks'!$BK$4:$BO$23,4,FALSE),0)</f>
        <v>0</v>
      </c>
      <c r="M431" s="532">
        <v>0</v>
      </c>
      <c r="N431" s="529">
        <f>IFERROR(VLOOKUP($B431,'3.Tasks'!$BK$4:$BO$23,5,FALSE),0)</f>
        <v>0</v>
      </c>
      <c r="O431" s="532">
        <v>0</v>
      </c>
      <c r="P431" s="530">
        <f t="shared" si="58"/>
        <v>0</v>
      </c>
    </row>
    <row r="432" spans="1:16">
      <c r="A432" s="529">
        <f t="shared" si="61"/>
        <v>12</v>
      </c>
      <c r="B432" s="529" t="s">
        <v>828</v>
      </c>
      <c r="C432" s="529" t="s">
        <v>28</v>
      </c>
      <c r="D432" s="529" t="str">
        <f>VLOOKUP(A432,Tabela8[[No.]:[Institution**]],9,FALSE)</f>
        <v>FCiências.ID</v>
      </c>
      <c r="E432" s="531" t="s">
        <v>41</v>
      </c>
      <c r="F432" s="529">
        <f>HLOOKUP(C432,'5.Equipments'!$AJ$2:$BC$22,(A432+1),FALSE)</f>
        <v>0</v>
      </c>
      <c r="G432" s="526">
        <f t="shared" si="57"/>
        <v>0</v>
      </c>
      <c r="H432" s="525">
        <f>IFERROR(VLOOKUP($B432,'3.Tasks'!$BK$4:$BO$23,2,FALSE),0)</f>
        <v>0</v>
      </c>
      <c r="I432" s="529">
        <f t="shared" si="59"/>
        <v>0</v>
      </c>
      <c r="J432" s="529">
        <f>IFERROR(VLOOKUP($B432,'3.Tasks'!$BK$4:$BO$23,3,FALSE),0)</f>
        <v>0</v>
      </c>
      <c r="K432" s="532">
        <v>0</v>
      </c>
      <c r="L432" s="529">
        <f>IFERROR(VLOOKUP($B432,'3.Tasks'!$BK$4:$BO$23,4,FALSE),0)</f>
        <v>0</v>
      </c>
      <c r="M432" s="532">
        <v>0</v>
      </c>
      <c r="N432" s="529">
        <f>IFERROR(VLOOKUP($B432,'3.Tasks'!$BK$4:$BO$23,5,FALSE),0)</f>
        <v>0</v>
      </c>
      <c r="O432" s="532">
        <v>0</v>
      </c>
      <c r="P432" s="530">
        <f t="shared" si="58"/>
        <v>0</v>
      </c>
    </row>
    <row r="433" spans="1:16">
      <c r="A433" s="529">
        <f t="shared" si="61"/>
        <v>12</v>
      </c>
      <c r="B433" s="529" t="s">
        <v>829</v>
      </c>
      <c r="C433" s="529" t="s">
        <v>29</v>
      </c>
      <c r="D433" s="529" t="str">
        <f>VLOOKUP(A433,Tabela8[[No.]:[Institution**]],9,FALSE)</f>
        <v>FCiências.ID</v>
      </c>
      <c r="E433" s="531" t="s">
        <v>41</v>
      </c>
      <c r="F433" s="529">
        <f>HLOOKUP(C433,'5.Equipments'!$AJ$2:$BC$22,(A433+1),FALSE)</f>
        <v>0</v>
      </c>
      <c r="G433" s="526">
        <f t="shared" si="57"/>
        <v>0</v>
      </c>
      <c r="H433" s="525">
        <f>IFERROR(VLOOKUP($B433,'3.Tasks'!$BK$4:$BO$23,2,FALSE),0)</f>
        <v>0</v>
      </c>
      <c r="I433" s="529">
        <f t="shared" si="59"/>
        <v>0</v>
      </c>
      <c r="J433" s="529">
        <f>IFERROR(VLOOKUP($B433,'3.Tasks'!$BK$4:$BO$23,3,FALSE),0)</f>
        <v>0</v>
      </c>
      <c r="K433" s="532">
        <v>0</v>
      </c>
      <c r="L433" s="529">
        <f>IFERROR(VLOOKUP($B433,'3.Tasks'!$BK$4:$BO$23,4,FALSE),0)</f>
        <v>0</v>
      </c>
      <c r="M433" s="532">
        <v>0</v>
      </c>
      <c r="N433" s="529">
        <f>IFERROR(VLOOKUP($B433,'3.Tasks'!$BK$4:$BO$23,5,FALSE),0)</f>
        <v>0</v>
      </c>
      <c r="O433" s="532">
        <v>0</v>
      </c>
      <c r="P433" s="530">
        <f t="shared" si="58"/>
        <v>0</v>
      </c>
    </row>
    <row r="434" spans="1:16">
      <c r="A434" s="529">
        <f t="shared" si="61"/>
        <v>12</v>
      </c>
      <c r="B434" s="529" t="s">
        <v>830</v>
      </c>
      <c r="C434" s="529" t="s">
        <v>30</v>
      </c>
      <c r="D434" s="529" t="str">
        <f>VLOOKUP(A434,Tabela8[[No.]:[Institution**]],9,FALSE)</f>
        <v>FCiências.ID</v>
      </c>
      <c r="E434" s="531" t="s">
        <v>41</v>
      </c>
      <c r="F434" s="529">
        <f>HLOOKUP(C434,'5.Equipments'!$AJ$2:$BC$22,(A434+1),FALSE)</f>
        <v>0</v>
      </c>
      <c r="G434" s="526">
        <f t="shared" si="57"/>
        <v>0</v>
      </c>
      <c r="H434" s="525">
        <f>IFERROR(VLOOKUP($B434,'3.Tasks'!$BK$4:$BO$23,2,FALSE),0)</f>
        <v>0</v>
      </c>
      <c r="I434" s="529">
        <f t="shared" si="59"/>
        <v>0</v>
      </c>
      <c r="J434" s="529">
        <f>IFERROR(VLOOKUP($B434,'3.Tasks'!$BK$4:$BO$23,3,FALSE),0)</f>
        <v>0</v>
      </c>
      <c r="K434" s="532">
        <v>0</v>
      </c>
      <c r="L434" s="529">
        <f>IFERROR(VLOOKUP($B434,'3.Tasks'!$BK$4:$BO$23,4,FALSE),0)</f>
        <v>0</v>
      </c>
      <c r="M434" s="532">
        <v>0</v>
      </c>
      <c r="N434" s="529">
        <f>IFERROR(VLOOKUP($B434,'3.Tasks'!$BK$4:$BO$23,5,FALSE),0)</f>
        <v>0</v>
      </c>
      <c r="O434" s="532">
        <v>0</v>
      </c>
      <c r="P434" s="530">
        <f t="shared" si="58"/>
        <v>0</v>
      </c>
    </row>
    <row r="435" spans="1:16">
      <c r="A435" s="529">
        <f t="shared" si="61"/>
        <v>12</v>
      </c>
      <c r="B435" s="529" t="s">
        <v>831</v>
      </c>
      <c r="C435" s="529" t="s">
        <v>31</v>
      </c>
      <c r="D435" s="529" t="str">
        <f>VLOOKUP(A435,Tabela8[[No.]:[Institution**]],9,FALSE)</f>
        <v>FCiências.ID</v>
      </c>
      <c r="E435" s="531" t="s">
        <v>41</v>
      </c>
      <c r="F435" s="529">
        <f>HLOOKUP(C435,'5.Equipments'!$AJ$2:$BC$22,(A435+1),FALSE)</f>
        <v>0</v>
      </c>
      <c r="G435" s="526">
        <f t="shared" si="57"/>
        <v>0</v>
      </c>
      <c r="H435" s="525">
        <f>IFERROR(VLOOKUP($B435,'3.Tasks'!$BK$4:$BO$23,2,FALSE),0)</f>
        <v>0</v>
      </c>
      <c r="I435" s="529">
        <f t="shared" si="59"/>
        <v>0</v>
      </c>
      <c r="J435" s="529">
        <f>IFERROR(VLOOKUP($B435,'3.Tasks'!$BK$4:$BO$23,3,FALSE),0)</f>
        <v>0</v>
      </c>
      <c r="K435" s="532">
        <v>0</v>
      </c>
      <c r="L435" s="529">
        <f>IFERROR(VLOOKUP($B435,'3.Tasks'!$BK$4:$BO$23,4,FALSE),0)</f>
        <v>0</v>
      </c>
      <c r="M435" s="532">
        <v>0</v>
      </c>
      <c r="N435" s="529">
        <f>IFERROR(VLOOKUP($B435,'3.Tasks'!$BK$4:$BO$23,5,FALSE),0)</f>
        <v>0</v>
      </c>
      <c r="O435" s="532">
        <v>0</v>
      </c>
      <c r="P435" s="530">
        <f t="shared" si="58"/>
        <v>0</v>
      </c>
    </row>
    <row r="436" spans="1:16">
      <c r="A436" s="529">
        <f t="shared" si="61"/>
        <v>12</v>
      </c>
      <c r="B436" s="529" t="s">
        <v>832</v>
      </c>
      <c r="C436" s="529" t="s">
        <v>32</v>
      </c>
      <c r="D436" s="529" t="str">
        <f>VLOOKUP(A436,Tabela8[[No.]:[Institution**]],9,FALSE)</f>
        <v>FCiências.ID</v>
      </c>
      <c r="E436" s="531" t="s">
        <v>41</v>
      </c>
      <c r="F436" s="529">
        <f>HLOOKUP(C436,'5.Equipments'!$AJ$2:$BC$22,(A436+1),FALSE)</f>
        <v>0</v>
      </c>
      <c r="G436" s="526">
        <f t="shared" si="57"/>
        <v>0</v>
      </c>
      <c r="H436" s="525">
        <f>IFERROR(VLOOKUP($B436,'3.Tasks'!$BK$4:$BO$23,2,FALSE),0)</f>
        <v>0</v>
      </c>
      <c r="I436" s="529">
        <f t="shared" si="59"/>
        <v>0</v>
      </c>
      <c r="J436" s="529">
        <f>IFERROR(VLOOKUP($B436,'3.Tasks'!$BK$4:$BO$23,3,FALSE),0)</f>
        <v>0</v>
      </c>
      <c r="K436" s="532">
        <v>0</v>
      </c>
      <c r="L436" s="529">
        <f>IFERROR(VLOOKUP($B436,'3.Tasks'!$BK$4:$BO$23,4,FALSE),0)</f>
        <v>0</v>
      </c>
      <c r="M436" s="532">
        <v>0</v>
      </c>
      <c r="N436" s="529">
        <f>IFERROR(VLOOKUP($B436,'3.Tasks'!$BK$4:$BO$23,5,FALSE),0)</f>
        <v>0</v>
      </c>
      <c r="O436" s="532">
        <v>0</v>
      </c>
      <c r="P436" s="530">
        <f t="shared" si="58"/>
        <v>0</v>
      </c>
    </row>
    <row r="437" spans="1:16">
      <c r="A437" s="529">
        <f t="shared" si="61"/>
        <v>12</v>
      </c>
      <c r="B437" s="529" t="s">
        <v>833</v>
      </c>
      <c r="C437" s="529" t="s">
        <v>33</v>
      </c>
      <c r="D437" s="529" t="str">
        <f>VLOOKUP(A437,Tabela8[[No.]:[Institution**]],9,FALSE)</f>
        <v>FCiências.ID</v>
      </c>
      <c r="E437" s="531" t="s">
        <v>41</v>
      </c>
      <c r="F437" s="529">
        <f>HLOOKUP(C437,'5.Equipments'!$AJ$2:$BC$22,(A437+1),FALSE)</f>
        <v>0</v>
      </c>
      <c r="G437" s="526">
        <f t="shared" si="57"/>
        <v>0</v>
      </c>
      <c r="H437" s="525">
        <f>IFERROR(VLOOKUP($B437,'3.Tasks'!$BK$4:$BO$23,2,FALSE),0)</f>
        <v>0</v>
      </c>
      <c r="I437" s="529">
        <f t="shared" si="59"/>
        <v>0</v>
      </c>
      <c r="J437" s="529">
        <f>IFERROR(VLOOKUP($B437,'3.Tasks'!$BK$4:$BO$23,3,FALSE),0)</f>
        <v>0</v>
      </c>
      <c r="K437" s="532">
        <v>0</v>
      </c>
      <c r="L437" s="529">
        <f>IFERROR(VLOOKUP($B437,'3.Tasks'!$BK$4:$BO$23,4,FALSE),0)</f>
        <v>0</v>
      </c>
      <c r="M437" s="532">
        <v>0</v>
      </c>
      <c r="N437" s="529">
        <f>IFERROR(VLOOKUP($B437,'3.Tasks'!$BK$4:$BO$23,5,FALSE),0)</f>
        <v>0</v>
      </c>
      <c r="O437" s="532">
        <v>0</v>
      </c>
      <c r="P437" s="530">
        <f t="shared" si="58"/>
        <v>0</v>
      </c>
    </row>
    <row r="438" spans="1:16">
      <c r="A438" s="529">
        <f t="shared" si="61"/>
        <v>12</v>
      </c>
      <c r="B438" s="529" t="s">
        <v>834</v>
      </c>
      <c r="C438" s="529" t="s">
        <v>34</v>
      </c>
      <c r="D438" s="529" t="str">
        <f>VLOOKUP(A438,Tabela8[[No.]:[Institution**]],9,FALSE)</f>
        <v>FCiências.ID</v>
      </c>
      <c r="E438" s="531" t="s">
        <v>41</v>
      </c>
      <c r="F438" s="529">
        <f>HLOOKUP(C438,'5.Equipments'!$AJ$2:$BC$22,(A438+1),FALSE)</f>
        <v>0</v>
      </c>
      <c r="G438" s="526">
        <f t="shared" si="57"/>
        <v>0</v>
      </c>
      <c r="H438" s="525">
        <f>IFERROR(VLOOKUP($B438,'3.Tasks'!$BK$4:$BO$23,2,FALSE),0)</f>
        <v>0</v>
      </c>
      <c r="I438" s="529">
        <f t="shared" si="59"/>
        <v>0</v>
      </c>
      <c r="J438" s="529">
        <f>IFERROR(VLOOKUP($B438,'3.Tasks'!$BK$4:$BO$23,3,FALSE),0)</f>
        <v>0</v>
      </c>
      <c r="K438" s="532">
        <v>0</v>
      </c>
      <c r="L438" s="529">
        <f>IFERROR(VLOOKUP($B438,'3.Tasks'!$BK$4:$BO$23,4,FALSE),0)</f>
        <v>0</v>
      </c>
      <c r="M438" s="532">
        <v>0</v>
      </c>
      <c r="N438" s="529">
        <f>IFERROR(VLOOKUP($B438,'3.Tasks'!$BK$4:$BO$23,5,FALSE),0)</f>
        <v>0</v>
      </c>
      <c r="O438" s="532">
        <v>0</v>
      </c>
      <c r="P438" s="530">
        <f t="shared" si="58"/>
        <v>0</v>
      </c>
    </row>
    <row r="439" spans="1:16">
      <c r="A439" s="529">
        <f t="shared" si="61"/>
        <v>12</v>
      </c>
      <c r="B439" s="529" t="s">
        <v>835</v>
      </c>
      <c r="C439" s="529" t="s">
        <v>35</v>
      </c>
      <c r="D439" s="529" t="str">
        <f>VLOOKUP(A439,Tabela8[[No.]:[Institution**]],9,FALSE)</f>
        <v>FCiências.ID</v>
      </c>
      <c r="E439" s="531" t="s">
        <v>41</v>
      </c>
      <c r="F439" s="529">
        <f>HLOOKUP(C439,'5.Equipments'!$AJ$2:$BC$22,(A439+1),FALSE)</f>
        <v>0</v>
      </c>
      <c r="G439" s="526">
        <f t="shared" si="57"/>
        <v>0</v>
      </c>
      <c r="H439" s="525">
        <f>IFERROR(VLOOKUP($B439,'3.Tasks'!$BK$4:$BO$23,2,FALSE),0)</f>
        <v>0</v>
      </c>
      <c r="I439" s="529">
        <f t="shared" si="59"/>
        <v>0</v>
      </c>
      <c r="J439" s="529">
        <f>IFERROR(VLOOKUP($B439,'3.Tasks'!$BK$4:$BO$23,3,FALSE),0)</f>
        <v>0</v>
      </c>
      <c r="K439" s="532">
        <v>0</v>
      </c>
      <c r="L439" s="529">
        <f>IFERROR(VLOOKUP($B439,'3.Tasks'!$BK$4:$BO$23,4,FALSE),0)</f>
        <v>0</v>
      </c>
      <c r="M439" s="532">
        <v>0</v>
      </c>
      <c r="N439" s="529">
        <f>IFERROR(VLOOKUP($B439,'3.Tasks'!$BK$4:$BO$23,5,FALSE),0)</f>
        <v>0</v>
      </c>
      <c r="O439" s="532">
        <v>0</v>
      </c>
      <c r="P439" s="530">
        <f t="shared" si="58"/>
        <v>0</v>
      </c>
    </row>
    <row r="440" spans="1:16">
      <c r="A440" s="529">
        <f t="shared" si="61"/>
        <v>12</v>
      </c>
      <c r="B440" s="529" t="s">
        <v>836</v>
      </c>
      <c r="C440" s="529" t="s">
        <v>36</v>
      </c>
      <c r="D440" s="529" t="str">
        <f>VLOOKUP(A440,Tabela8[[No.]:[Institution**]],9,FALSE)</f>
        <v>FCiências.ID</v>
      </c>
      <c r="E440" s="531" t="s">
        <v>41</v>
      </c>
      <c r="F440" s="529">
        <f>HLOOKUP(C440,'5.Equipments'!$AJ$2:$BC$22,(A440+1),FALSE)</f>
        <v>0</v>
      </c>
      <c r="G440" s="526">
        <f t="shared" si="57"/>
        <v>0</v>
      </c>
      <c r="H440" s="525">
        <f>IFERROR(VLOOKUP($B440,'3.Tasks'!$BK$4:$BO$23,2,FALSE),0)</f>
        <v>0</v>
      </c>
      <c r="I440" s="529">
        <f t="shared" si="59"/>
        <v>0</v>
      </c>
      <c r="J440" s="529">
        <f>IFERROR(VLOOKUP($B440,'3.Tasks'!$BK$4:$BO$23,3,FALSE),0)</f>
        <v>0</v>
      </c>
      <c r="K440" s="532">
        <v>0</v>
      </c>
      <c r="L440" s="529">
        <f>IFERROR(VLOOKUP($B440,'3.Tasks'!$BK$4:$BO$23,4,FALSE),0)</f>
        <v>0</v>
      </c>
      <c r="M440" s="532">
        <v>0</v>
      </c>
      <c r="N440" s="529">
        <f>IFERROR(VLOOKUP($B440,'3.Tasks'!$BK$4:$BO$23,5,FALSE),0)</f>
        <v>0</v>
      </c>
      <c r="O440" s="532">
        <v>0</v>
      </c>
      <c r="P440" s="530">
        <f t="shared" si="58"/>
        <v>0</v>
      </c>
    </row>
    <row r="441" spans="1:16">
      <c r="A441" s="529">
        <f t="shared" si="61"/>
        <v>12</v>
      </c>
      <c r="B441" s="529" t="s">
        <v>837</v>
      </c>
      <c r="C441" s="529" t="s">
        <v>37</v>
      </c>
      <c r="D441" s="529" t="str">
        <f>VLOOKUP(A441,Tabela8[[No.]:[Institution**]],9,FALSE)</f>
        <v>FCiências.ID</v>
      </c>
      <c r="E441" s="531" t="s">
        <v>41</v>
      </c>
      <c r="F441" s="529">
        <f>HLOOKUP(C441,'5.Equipments'!$AJ$2:$BC$22,(A441+1),FALSE)</f>
        <v>0</v>
      </c>
      <c r="G441" s="526">
        <f t="shared" si="57"/>
        <v>0</v>
      </c>
      <c r="H441" s="525">
        <f>IFERROR(VLOOKUP($B441,'3.Tasks'!$BK$4:$BO$23,2,FALSE),0)</f>
        <v>0</v>
      </c>
      <c r="I441" s="529">
        <f t="shared" si="59"/>
        <v>0</v>
      </c>
      <c r="J441" s="529">
        <f>IFERROR(VLOOKUP($B441,'3.Tasks'!$BK$4:$BO$23,3,FALSE),0)</f>
        <v>0</v>
      </c>
      <c r="K441" s="532">
        <v>0</v>
      </c>
      <c r="L441" s="529">
        <f>IFERROR(VLOOKUP($B441,'3.Tasks'!$BK$4:$BO$23,4,FALSE),0)</f>
        <v>0</v>
      </c>
      <c r="M441" s="532">
        <v>0</v>
      </c>
      <c r="N441" s="529">
        <f>IFERROR(VLOOKUP($B441,'3.Tasks'!$BK$4:$BO$23,5,FALSE),0)</f>
        <v>0</v>
      </c>
      <c r="O441" s="532">
        <v>0</v>
      </c>
      <c r="P441" s="530">
        <f t="shared" si="58"/>
        <v>0</v>
      </c>
    </row>
    <row r="442" spans="1:16">
      <c r="A442" s="529">
        <v>13</v>
      </c>
      <c r="B442" s="529" t="s">
        <v>818</v>
      </c>
      <c r="C442" s="529" t="s">
        <v>18</v>
      </c>
      <c r="D442" s="529" t="str">
        <f>VLOOKUP(A442,Tabela8[[No.]:[Institution**]],9,FALSE)</f>
        <v>FCiências.ID</v>
      </c>
      <c r="E442" s="531" t="s">
        <v>41</v>
      </c>
      <c r="F442" s="529">
        <f>HLOOKUP(C442,'5.Equipments'!$AJ$2:$BC$22,(A442+1),FALSE)</f>
        <v>0</v>
      </c>
      <c r="G442" s="526">
        <f t="shared" si="57"/>
        <v>0</v>
      </c>
      <c r="H442" s="525">
        <f>IFERROR(VLOOKUP($B442,'3.Tasks'!$BK$4:$BO$23,2,FALSE),0)</f>
        <v>0</v>
      </c>
      <c r="I442" s="529">
        <f t="shared" si="59"/>
        <v>0</v>
      </c>
      <c r="J442" s="529">
        <f>IFERROR(VLOOKUP($B442,'3.Tasks'!$BK$4:$BO$23,3,FALSE),0)</f>
        <v>0</v>
      </c>
      <c r="K442" s="532">
        <v>0</v>
      </c>
      <c r="L442" s="529">
        <f>IFERROR(VLOOKUP($B442,'3.Tasks'!$BK$4:$BO$23,4,FALSE),0)</f>
        <v>0</v>
      </c>
      <c r="M442" s="532">
        <v>0</v>
      </c>
      <c r="N442" s="529">
        <f>IFERROR(VLOOKUP($B442,'3.Tasks'!$BK$4:$BO$23,5,FALSE),0)</f>
        <v>0</v>
      </c>
      <c r="O442" s="532">
        <v>0</v>
      </c>
      <c r="P442" s="530">
        <f t="shared" si="58"/>
        <v>0</v>
      </c>
    </row>
    <row r="443" spans="1:16">
      <c r="A443" s="529">
        <f>+A442</f>
        <v>13</v>
      </c>
      <c r="B443" s="529" t="s">
        <v>819</v>
      </c>
      <c r="C443" s="529" t="s">
        <v>19</v>
      </c>
      <c r="D443" s="529" t="str">
        <f>VLOOKUP(A443,Tabela8[[No.]:[Institution**]],9,FALSE)</f>
        <v>FCiências.ID</v>
      </c>
      <c r="E443" s="531" t="s">
        <v>41</v>
      </c>
      <c r="F443" s="529">
        <f>HLOOKUP(C443,'5.Equipments'!$AJ$2:$BC$22,(A443+1),FALSE)</f>
        <v>0</v>
      </c>
      <c r="G443" s="526">
        <f t="shared" si="57"/>
        <v>0</v>
      </c>
      <c r="H443" s="525">
        <f>IFERROR(VLOOKUP($B443,'3.Tasks'!$BK$4:$BO$23,2,FALSE),0)</f>
        <v>0</v>
      </c>
      <c r="I443" s="529">
        <f t="shared" si="59"/>
        <v>0</v>
      </c>
      <c r="J443" s="529">
        <f>IFERROR(VLOOKUP($B443,'3.Tasks'!$BK$4:$BO$23,3,FALSE),0)</f>
        <v>0</v>
      </c>
      <c r="K443" s="532">
        <v>0</v>
      </c>
      <c r="L443" s="529">
        <f>IFERROR(VLOOKUP($B443,'3.Tasks'!$BK$4:$BO$23,4,FALSE),0)</f>
        <v>0</v>
      </c>
      <c r="M443" s="532">
        <v>0</v>
      </c>
      <c r="N443" s="529">
        <f>IFERROR(VLOOKUP($B443,'3.Tasks'!$BK$4:$BO$23,5,FALSE),0)</f>
        <v>0</v>
      </c>
      <c r="O443" s="532">
        <v>0</v>
      </c>
      <c r="P443" s="530">
        <f t="shared" si="58"/>
        <v>0</v>
      </c>
    </row>
    <row r="444" spans="1:16">
      <c r="A444" s="529">
        <f t="shared" ref="A444:A461" si="62">+A443</f>
        <v>13</v>
      </c>
      <c r="B444" s="529" t="s">
        <v>820</v>
      </c>
      <c r="C444" s="529" t="s">
        <v>20</v>
      </c>
      <c r="D444" s="529" t="str">
        <f>VLOOKUP(A444,Tabela8[[No.]:[Institution**]],9,FALSE)</f>
        <v>FCiências.ID</v>
      </c>
      <c r="E444" s="531" t="s">
        <v>41</v>
      </c>
      <c r="F444" s="529">
        <f>HLOOKUP(C444,'5.Equipments'!$AJ$2:$BC$22,(A444+1),FALSE)</f>
        <v>0</v>
      </c>
      <c r="G444" s="526">
        <f t="shared" si="57"/>
        <v>0</v>
      </c>
      <c r="H444" s="525">
        <f>IFERROR(VLOOKUP($B444,'3.Tasks'!$BK$4:$BO$23,2,FALSE),0)</f>
        <v>0</v>
      </c>
      <c r="I444" s="529">
        <f t="shared" si="59"/>
        <v>0</v>
      </c>
      <c r="J444" s="529">
        <f>IFERROR(VLOOKUP($B444,'3.Tasks'!$BK$4:$BO$23,3,FALSE),0)</f>
        <v>0</v>
      </c>
      <c r="K444" s="532">
        <v>0</v>
      </c>
      <c r="L444" s="529">
        <f>IFERROR(VLOOKUP($B444,'3.Tasks'!$BK$4:$BO$23,4,FALSE),0)</f>
        <v>0</v>
      </c>
      <c r="M444" s="532">
        <v>0</v>
      </c>
      <c r="N444" s="529">
        <f>IFERROR(VLOOKUP($B444,'3.Tasks'!$BK$4:$BO$23,5,FALSE),0)</f>
        <v>0</v>
      </c>
      <c r="O444" s="532">
        <v>0</v>
      </c>
      <c r="P444" s="530">
        <f t="shared" si="58"/>
        <v>0</v>
      </c>
    </row>
    <row r="445" spans="1:16">
      <c r="A445" s="529">
        <f t="shared" si="62"/>
        <v>13</v>
      </c>
      <c r="B445" s="529" t="s">
        <v>821</v>
      </c>
      <c r="C445" s="529" t="s">
        <v>21</v>
      </c>
      <c r="D445" s="529" t="str">
        <f>VLOOKUP(A445,Tabela8[[No.]:[Institution**]],9,FALSE)</f>
        <v>FCiências.ID</v>
      </c>
      <c r="E445" s="531" t="s">
        <v>41</v>
      </c>
      <c r="F445" s="529">
        <f>HLOOKUP(C445,'5.Equipments'!$AJ$2:$BC$22,(A445+1),FALSE)</f>
        <v>0</v>
      </c>
      <c r="G445" s="526">
        <f t="shared" si="57"/>
        <v>0</v>
      </c>
      <c r="H445" s="525">
        <f>IFERROR(VLOOKUP($B445,'3.Tasks'!$BK$4:$BO$23,2,FALSE),0)</f>
        <v>0</v>
      </c>
      <c r="I445" s="529">
        <f t="shared" si="59"/>
        <v>0</v>
      </c>
      <c r="J445" s="529">
        <f>IFERROR(VLOOKUP($B445,'3.Tasks'!$BK$4:$BO$23,3,FALSE),0)</f>
        <v>0</v>
      </c>
      <c r="K445" s="532">
        <v>0</v>
      </c>
      <c r="L445" s="529">
        <f>IFERROR(VLOOKUP($B445,'3.Tasks'!$BK$4:$BO$23,4,FALSE),0)</f>
        <v>0</v>
      </c>
      <c r="M445" s="532">
        <v>0</v>
      </c>
      <c r="N445" s="529">
        <f>IFERROR(VLOOKUP($B445,'3.Tasks'!$BK$4:$BO$23,5,FALSE),0)</f>
        <v>0</v>
      </c>
      <c r="O445" s="532">
        <v>0</v>
      </c>
      <c r="P445" s="530">
        <f t="shared" si="58"/>
        <v>0</v>
      </c>
    </row>
    <row r="446" spans="1:16">
      <c r="A446" s="529">
        <f t="shared" si="62"/>
        <v>13</v>
      </c>
      <c r="B446" s="529" t="s">
        <v>822</v>
      </c>
      <c r="C446" s="529" t="s">
        <v>22</v>
      </c>
      <c r="D446" s="529" t="str">
        <f>VLOOKUP(A446,Tabela8[[No.]:[Institution**]],9,FALSE)</f>
        <v>FCiências.ID</v>
      </c>
      <c r="E446" s="531" t="s">
        <v>41</v>
      </c>
      <c r="F446" s="529">
        <f>HLOOKUP(C446,'5.Equipments'!$AJ$2:$BC$22,(A446+1),FALSE)</f>
        <v>0</v>
      </c>
      <c r="G446" s="526">
        <f t="shared" si="57"/>
        <v>0</v>
      </c>
      <c r="H446" s="525">
        <f>IFERROR(VLOOKUP($B446,'3.Tasks'!$BK$4:$BO$23,2,FALSE),0)</f>
        <v>0</v>
      </c>
      <c r="I446" s="529">
        <f t="shared" si="59"/>
        <v>0</v>
      </c>
      <c r="J446" s="529">
        <f>IFERROR(VLOOKUP($B446,'3.Tasks'!$BK$4:$BO$23,3,FALSE),0)</f>
        <v>0</v>
      </c>
      <c r="K446" s="532">
        <v>0</v>
      </c>
      <c r="L446" s="529">
        <f>IFERROR(VLOOKUP($B446,'3.Tasks'!$BK$4:$BO$23,4,FALSE),0)</f>
        <v>0</v>
      </c>
      <c r="M446" s="532">
        <v>0</v>
      </c>
      <c r="N446" s="529">
        <f>IFERROR(VLOOKUP($B446,'3.Tasks'!$BK$4:$BO$23,5,FALSE),0)</f>
        <v>0</v>
      </c>
      <c r="O446" s="532">
        <v>0</v>
      </c>
      <c r="P446" s="530">
        <f t="shared" si="58"/>
        <v>0</v>
      </c>
    </row>
    <row r="447" spans="1:16">
      <c r="A447" s="529">
        <f t="shared" si="62"/>
        <v>13</v>
      </c>
      <c r="B447" s="529" t="s">
        <v>823</v>
      </c>
      <c r="C447" s="529" t="s">
        <v>23</v>
      </c>
      <c r="D447" s="529" t="str">
        <f>VLOOKUP(A447,Tabela8[[No.]:[Institution**]],9,FALSE)</f>
        <v>FCiências.ID</v>
      </c>
      <c r="E447" s="531" t="s">
        <v>41</v>
      </c>
      <c r="F447" s="529">
        <f>HLOOKUP(C447,'5.Equipments'!$AJ$2:$BC$22,(A447+1),FALSE)</f>
        <v>0</v>
      </c>
      <c r="G447" s="526">
        <f t="shared" si="57"/>
        <v>0</v>
      </c>
      <c r="H447" s="525">
        <f>IFERROR(VLOOKUP($B447,'3.Tasks'!$BK$4:$BO$23,2,FALSE),0)</f>
        <v>0</v>
      </c>
      <c r="I447" s="529">
        <f t="shared" si="59"/>
        <v>0</v>
      </c>
      <c r="J447" s="529">
        <f>IFERROR(VLOOKUP($B447,'3.Tasks'!$BK$4:$BO$23,3,FALSE),0)</f>
        <v>0</v>
      </c>
      <c r="K447" s="532">
        <v>0</v>
      </c>
      <c r="L447" s="529">
        <f>IFERROR(VLOOKUP($B447,'3.Tasks'!$BK$4:$BO$23,4,FALSE),0)</f>
        <v>0</v>
      </c>
      <c r="M447" s="532">
        <v>0</v>
      </c>
      <c r="N447" s="529">
        <f>IFERROR(VLOOKUP($B447,'3.Tasks'!$BK$4:$BO$23,5,FALSE),0)</f>
        <v>0</v>
      </c>
      <c r="O447" s="532">
        <v>0</v>
      </c>
      <c r="P447" s="530">
        <f t="shared" si="58"/>
        <v>0</v>
      </c>
    </row>
    <row r="448" spans="1:16">
      <c r="A448" s="529">
        <f t="shared" si="62"/>
        <v>13</v>
      </c>
      <c r="B448" s="529" t="s">
        <v>824</v>
      </c>
      <c r="C448" s="529" t="s">
        <v>24</v>
      </c>
      <c r="D448" s="529" t="str">
        <f>VLOOKUP(A448,Tabela8[[No.]:[Institution**]],9,FALSE)</f>
        <v>FCiências.ID</v>
      </c>
      <c r="E448" s="531" t="s">
        <v>41</v>
      </c>
      <c r="F448" s="529">
        <f>HLOOKUP(C448,'5.Equipments'!$AJ$2:$BC$22,(A448+1),FALSE)</f>
        <v>0</v>
      </c>
      <c r="G448" s="526">
        <f t="shared" si="57"/>
        <v>0</v>
      </c>
      <c r="H448" s="525">
        <f>IFERROR(VLOOKUP($B448,'3.Tasks'!$BK$4:$BO$23,2,FALSE),0)</f>
        <v>0</v>
      </c>
      <c r="I448" s="529">
        <f t="shared" si="59"/>
        <v>0</v>
      </c>
      <c r="J448" s="529">
        <f>IFERROR(VLOOKUP($B448,'3.Tasks'!$BK$4:$BO$23,3,FALSE),0)</f>
        <v>0</v>
      </c>
      <c r="K448" s="532">
        <v>0</v>
      </c>
      <c r="L448" s="529">
        <f>IFERROR(VLOOKUP($B448,'3.Tasks'!$BK$4:$BO$23,4,FALSE),0)</f>
        <v>0</v>
      </c>
      <c r="M448" s="532">
        <v>0</v>
      </c>
      <c r="N448" s="529">
        <f>IFERROR(VLOOKUP($B448,'3.Tasks'!$BK$4:$BO$23,5,FALSE),0)</f>
        <v>0</v>
      </c>
      <c r="O448" s="532">
        <v>0</v>
      </c>
      <c r="P448" s="530">
        <f t="shared" si="58"/>
        <v>0</v>
      </c>
    </row>
    <row r="449" spans="1:16">
      <c r="A449" s="529">
        <f t="shared" si="62"/>
        <v>13</v>
      </c>
      <c r="B449" s="529" t="s">
        <v>825</v>
      </c>
      <c r="C449" s="529" t="s">
        <v>25</v>
      </c>
      <c r="D449" s="529" t="str">
        <f>VLOOKUP(A449,Tabela8[[No.]:[Institution**]],9,FALSE)</f>
        <v>FCiências.ID</v>
      </c>
      <c r="E449" s="531" t="s">
        <v>41</v>
      </c>
      <c r="F449" s="529">
        <f>HLOOKUP(C449,'5.Equipments'!$AJ$2:$BC$22,(A449+1),FALSE)</f>
        <v>0</v>
      </c>
      <c r="G449" s="526">
        <f t="shared" si="57"/>
        <v>0</v>
      </c>
      <c r="H449" s="525">
        <f>IFERROR(VLOOKUP($B449,'3.Tasks'!$BK$4:$BO$23,2,FALSE),0)</f>
        <v>0</v>
      </c>
      <c r="I449" s="529">
        <f t="shared" si="59"/>
        <v>0</v>
      </c>
      <c r="J449" s="529">
        <f>IFERROR(VLOOKUP($B449,'3.Tasks'!$BK$4:$BO$23,3,FALSE),0)</f>
        <v>0</v>
      </c>
      <c r="K449" s="532">
        <v>0</v>
      </c>
      <c r="L449" s="529">
        <f>IFERROR(VLOOKUP($B449,'3.Tasks'!$BK$4:$BO$23,4,FALSE),0)</f>
        <v>0</v>
      </c>
      <c r="M449" s="532">
        <v>0</v>
      </c>
      <c r="N449" s="529">
        <f>IFERROR(VLOOKUP($B449,'3.Tasks'!$BK$4:$BO$23,5,FALSE),0)</f>
        <v>0</v>
      </c>
      <c r="O449" s="532">
        <v>0</v>
      </c>
      <c r="P449" s="530">
        <f t="shared" si="58"/>
        <v>0</v>
      </c>
    </row>
    <row r="450" spans="1:16">
      <c r="A450" s="529">
        <f t="shared" si="62"/>
        <v>13</v>
      </c>
      <c r="B450" s="529" t="s">
        <v>826</v>
      </c>
      <c r="C450" s="529" t="s">
        <v>26</v>
      </c>
      <c r="D450" s="529" t="str">
        <f>VLOOKUP(A450,Tabela8[[No.]:[Institution**]],9,FALSE)</f>
        <v>FCiências.ID</v>
      </c>
      <c r="E450" s="531" t="s">
        <v>41</v>
      </c>
      <c r="F450" s="529">
        <f>HLOOKUP(C450,'5.Equipments'!$AJ$2:$BC$22,(A450+1),FALSE)</f>
        <v>0</v>
      </c>
      <c r="G450" s="526">
        <f t="shared" si="57"/>
        <v>0</v>
      </c>
      <c r="H450" s="525">
        <f>IFERROR(VLOOKUP($B450,'3.Tasks'!$BK$4:$BO$23,2,FALSE),0)</f>
        <v>0</v>
      </c>
      <c r="I450" s="529">
        <f t="shared" si="59"/>
        <v>0</v>
      </c>
      <c r="J450" s="529">
        <f>IFERROR(VLOOKUP($B450,'3.Tasks'!$BK$4:$BO$23,3,FALSE),0)</f>
        <v>0</v>
      </c>
      <c r="K450" s="532">
        <v>0</v>
      </c>
      <c r="L450" s="529">
        <f>IFERROR(VLOOKUP($B450,'3.Tasks'!$BK$4:$BO$23,4,FALSE),0)</f>
        <v>0</v>
      </c>
      <c r="M450" s="532">
        <v>0</v>
      </c>
      <c r="N450" s="529">
        <f>IFERROR(VLOOKUP($B450,'3.Tasks'!$BK$4:$BO$23,5,FALSE),0)</f>
        <v>0</v>
      </c>
      <c r="O450" s="532">
        <v>0</v>
      </c>
      <c r="P450" s="530">
        <f t="shared" si="58"/>
        <v>0</v>
      </c>
    </row>
    <row r="451" spans="1:16">
      <c r="A451" s="529">
        <f t="shared" si="62"/>
        <v>13</v>
      </c>
      <c r="B451" s="529" t="s">
        <v>827</v>
      </c>
      <c r="C451" s="529" t="s">
        <v>27</v>
      </c>
      <c r="D451" s="529" t="str">
        <f>VLOOKUP(A451,Tabela8[[No.]:[Institution**]],9,FALSE)</f>
        <v>FCiências.ID</v>
      </c>
      <c r="E451" s="531" t="s">
        <v>41</v>
      </c>
      <c r="F451" s="529">
        <f>HLOOKUP(C451,'5.Equipments'!$AJ$2:$BC$22,(A451+1),FALSE)</f>
        <v>0</v>
      </c>
      <c r="G451" s="526">
        <f t="shared" ref="G451:G514" si="63">IFERROR((H451+J451+L451+N451),0)</f>
        <v>0</v>
      </c>
      <c r="H451" s="525">
        <f>IFERROR(VLOOKUP($B451,'3.Tasks'!$BK$4:$BO$23,2,FALSE),0)</f>
        <v>0</v>
      </c>
      <c r="I451" s="529">
        <f t="shared" si="59"/>
        <v>0</v>
      </c>
      <c r="J451" s="529">
        <f>IFERROR(VLOOKUP($B451,'3.Tasks'!$BK$4:$BO$23,3,FALSE),0)</f>
        <v>0</v>
      </c>
      <c r="K451" s="532">
        <v>0</v>
      </c>
      <c r="L451" s="529">
        <f>IFERROR(VLOOKUP($B451,'3.Tasks'!$BK$4:$BO$23,4,FALSE),0)</f>
        <v>0</v>
      </c>
      <c r="M451" s="532">
        <v>0</v>
      </c>
      <c r="N451" s="529">
        <f>IFERROR(VLOOKUP($B451,'3.Tasks'!$BK$4:$BO$23,5,FALSE),0)</f>
        <v>0</v>
      </c>
      <c r="O451" s="532">
        <v>0</v>
      </c>
      <c r="P451" s="530">
        <f t="shared" ref="P451:P514" si="64">+F451-I451-K451-M451-O451</f>
        <v>0</v>
      </c>
    </row>
    <row r="452" spans="1:16">
      <c r="A452" s="529">
        <f t="shared" si="62"/>
        <v>13</v>
      </c>
      <c r="B452" s="529" t="s">
        <v>828</v>
      </c>
      <c r="C452" s="529" t="s">
        <v>28</v>
      </c>
      <c r="D452" s="529" t="str">
        <f>VLOOKUP(A452,Tabela8[[No.]:[Institution**]],9,FALSE)</f>
        <v>FCiências.ID</v>
      </c>
      <c r="E452" s="531" t="s">
        <v>41</v>
      </c>
      <c r="F452" s="529">
        <f>HLOOKUP(C452,'5.Equipments'!$AJ$2:$BC$22,(A452+1),FALSE)</f>
        <v>0</v>
      </c>
      <c r="G452" s="526">
        <f t="shared" si="63"/>
        <v>0</v>
      </c>
      <c r="H452" s="525">
        <f>IFERROR(VLOOKUP($B452,'3.Tasks'!$BK$4:$BO$23,2,FALSE),0)</f>
        <v>0</v>
      </c>
      <c r="I452" s="529">
        <f t="shared" si="59"/>
        <v>0</v>
      </c>
      <c r="J452" s="529">
        <f>IFERROR(VLOOKUP($B452,'3.Tasks'!$BK$4:$BO$23,3,FALSE),0)</f>
        <v>0</v>
      </c>
      <c r="K452" s="532">
        <v>0</v>
      </c>
      <c r="L452" s="529">
        <f>IFERROR(VLOOKUP($B452,'3.Tasks'!$BK$4:$BO$23,4,FALSE),0)</f>
        <v>0</v>
      </c>
      <c r="M452" s="532">
        <v>0</v>
      </c>
      <c r="N452" s="529">
        <f>IFERROR(VLOOKUP($B452,'3.Tasks'!$BK$4:$BO$23,5,FALSE),0)</f>
        <v>0</v>
      </c>
      <c r="O452" s="532">
        <v>0</v>
      </c>
      <c r="P452" s="530">
        <f t="shared" si="64"/>
        <v>0</v>
      </c>
    </row>
    <row r="453" spans="1:16">
      <c r="A453" s="529">
        <f t="shared" si="62"/>
        <v>13</v>
      </c>
      <c r="B453" s="529" t="s">
        <v>829</v>
      </c>
      <c r="C453" s="529" t="s">
        <v>29</v>
      </c>
      <c r="D453" s="529" t="str">
        <f>VLOOKUP(A453,Tabela8[[No.]:[Institution**]],9,FALSE)</f>
        <v>FCiências.ID</v>
      </c>
      <c r="E453" s="531" t="s">
        <v>41</v>
      </c>
      <c r="F453" s="529">
        <f>HLOOKUP(C453,'5.Equipments'!$AJ$2:$BC$22,(A453+1),FALSE)</f>
        <v>0</v>
      </c>
      <c r="G453" s="526">
        <f t="shared" si="63"/>
        <v>0</v>
      </c>
      <c r="H453" s="525">
        <f>IFERROR(VLOOKUP($B453,'3.Tasks'!$BK$4:$BO$23,2,FALSE),0)</f>
        <v>0</v>
      </c>
      <c r="I453" s="529">
        <f t="shared" si="59"/>
        <v>0</v>
      </c>
      <c r="J453" s="529">
        <f>IFERROR(VLOOKUP($B453,'3.Tasks'!$BK$4:$BO$23,3,FALSE),0)</f>
        <v>0</v>
      </c>
      <c r="K453" s="532">
        <v>0</v>
      </c>
      <c r="L453" s="529">
        <f>IFERROR(VLOOKUP($B453,'3.Tasks'!$BK$4:$BO$23,4,FALSE),0)</f>
        <v>0</v>
      </c>
      <c r="M453" s="532">
        <v>0</v>
      </c>
      <c r="N453" s="529">
        <f>IFERROR(VLOOKUP($B453,'3.Tasks'!$BK$4:$BO$23,5,FALSE),0)</f>
        <v>0</v>
      </c>
      <c r="O453" s="532">
        <v>0</v>
      </c>
      <c r="P453" s="530">
        <f t="shared" si="64"/>
        <v>0</v>
      </c>
    </row>
    <row r="454" spans="1:16">
      <c r="A454" s="529">
        <f t="shared" si="62"/>
        <v>13</v>
      </c>
      <c r="B454" s="529" t="s">
        <v>830</v>
      </c>
      <c r="C454" s="529" t="s">
        <v>30</v>
      </c>
      <c r="D454" s="529" t="str">
        <f>VLOOKUP(A454,Tabela8[[No.]:[Institution**]],9,FALSE)</f>
        <v>FCiências.ID</v>
      </c>
      <c r="E454" s="531" t="s">
        <v>41</v>
      </c>
      <c r="F454" s="529">
        <f>HLOOKUP(C454,'5.Equipments'!$AJ$2:$BC$22,(A454+1),FALSE)</f>
        <v>0</v>
      </c>
      <c r="G454" s="526">
        <f t="shared" si="63"/>
        <v>0</v>
      </c>
      <c r="H454" s="525">
        <f>IFERROR(VLOOKUP($B454,'3.Tasks'!$BK$4:$BO$23,2,FALSE),0)</f>
        <v>0</v>
      </c>
      <c r="I454" s="529">
        <f t="shared" si="59"/>
        <v>0</v>
      </c>
      <c r="J454" s="529">
        <f>IFERROR(VLOOKUP($B454,'3.Tasks'!$BK$4:$BO$23,3,FALSE),0)</f>
        <v>0</v>
      </c>
      <c r="K454" s="532">
        <v>0</v>
      </c>
      <c r="L454" s="529">
        <f>IFERROR(VLOOKUP($B454,'3.Tasks'!$BK$4:$BO$23,4,FALSE),0)</f>
        <v>0</v>
      </c>
      <c r="M454" s="532">
        <v>0</v>
      </c>
      <c r="N454" s="529">
        <f>IFERROR(VLOOKUP($B454,'3.Tasks'!$BK$4:$BO$23,5,FALSE),0)</f>
        <v>0</v>
      </c>
      <c r="O454" s="532">
        <v>0</v>
      </c>
      <c r="P454" s="530">
        <f t="shared" si="64"/>
        <v>0</v>
      </c>
    </row>
    <row r="455" spans="1:16">
      <c r="A455" s="529">
        <f t="shared" si="62"/>
        <v>13</v>
      </c>
      <c r="B455" s="529" t="s">
        <v>831</v>
      </c>
      <c r="C455" s="529" t="s">
        <v>31</v>
      </c>
      <c r="D455" s="529" t="str">
        <f>VLOOKUP(A455,Tabela8[[No.]:[Institution**]],9,FALSE)</f>
        <v>FCiências.ID</v>
      </c>
      <c r="E455" s="531" t="s">
        <v>41</v>
      </c>
      <c r="F455" s="529">
        <f>HLOOKUP(C455,'5.Equipments'!$AJ$2:$BC$22,(A455+1),FALSE)</f>
        <v>0</v>
      </c>
      <c r="G455" s="526">
        <f t="shared" si="63"/>
        <v>0</v>
      </c>
      <c r="H455" s="525">
        <f>IFERROR(VLOOKUP($B455,'3.Tasks'!$BK$4:$BO$23,2,FALSE),0)</f>
        <v>0</v>
      </c>
      <c r="I455" s="529">
        <f t="shared" si="59"/>
        <v>0</v>
      </c>
      <c r="J455" s="529">
        <f>IFERROR(VLOOKUP($B455,'3.Tasks'!$BK$4:$BO$23,3,FALSE),0)</f>
        <v>0</v>
      </c>
      <c r="K455" s="532">
        <v>0</v>
      </c>
      <c r="L455" s="529">
        <f>IFERROR(VLOOKUP($B455,'3.Tasks'!$BK$4:$BO$23,4,FALSE),0)</f>
        <v>0</v>
      </c>
      <c r="M455" s="532">
        <v>0</v>
      </c>
      <c r="N455" s="529">
        <f>IFERROR(VLOOKUP($B455,'3.Tasks'!$BK$4:$BO$23,5,FALSE),0)</f>
        <v>0</v>
      </c>
      <c r="O455" s="532">
        <v>0</v>
      </c>
      <c r="P455" s="530">
        <f t="shared" si="64"/>
        <v>0</v>
      </c>
    </row>
    <row r="456" spans="1:16">
      <c r="A456" s="529">
        <f t="shared" si="62"/>
        <v>13</v>
      </c>
      <c r="B456" s="529" t="s">
        <v>832</v>
      </c>
      <c r="C456" s="529" t="s">
        <v>32</v>
      </c>
      <c r="D456" s="529" t="str">
        <f>VLOOKUP(A456,Tabela8[[No.]:[Institution**]],9,FALSE)</f>
        <v>FCiências.ID</v>
      </c>
      <c r="E456" s="531" t="s">
        <v>41</v>
      </c>
      <c r="F456" s="529">
        <f>HLOOKUP(C456,'5.Equipments'!$AJ$2:$BC$22,(A456+1),FALSE)</f>
        <v>0</v>
      </c>
      <c r="G456" s="526">
        <f t="shared" si="63"/>
        <v>0</v>
      </c>
      <c r="H456" s="525">
        <f>IFERROR(VLOOKUP($B456,'3.Tasks'!$BK$4:$BO$23,2,FALSE),0)</f>
        <v>0</v>
      </c>
      <c r="I456" s="529">
        <f t="shared" si="59"/>
        <v>0</v>
      </c>
      <c r="J456" s="529">
        <f>IFERROR(VLOOKUP($B456,'3.Tasks'!$BK$4:$BO$23,3,FALSE),0)</f>
        <v>0</v>
      </c>
      <c r="K456" s="532">
        <v>0</v>
      </c>
      <c r="L456" s="529">
        <f>IFERROR(VLOOKUP($B456,'3.Tasks'!$BK$4:$BO$23,4,FALSE),0)</f>
        <v>0</v>
      </c>
      <c r="M456" s="532">
        <v>0</v>
      </c>
      <c r="N456" s="529">
        <f>IFERROR(VLOOKUP($B456,'3.Tasks'!$BK$4:$BO$23,5,FALSE),0)</f>
        <v>0</v>
      </c>
      <c r="O456" s="532">
        <v>0</v>
      </c>
      <c r="P456" s="530">
        <f t="shared" si="64"/>
        <v>0</v>
      </c>
    </row>
    <row r="457" spans="1:16">
      <c r="A457" s="529">
        <f t="shared" si="62"/>
        <v>13</v>
      </c>
      <c r="B457" s="529" t="s">
        <v>833</v>
      </c>
      <c r="C457" s="529" t="s">
        <v>33</v>
      </c>
      <c r="D457" s="529" t="str">
        <f>VLOOKUP(A457,Tabela8[[No.]:[Institution**]],9,FALSE)</f>
        <v>FCiências.ID</v>
      </c>
      <c r="E457" s="531" t="s">
        <v>41</v>
      </c>
      <c r="F457" s="529">
        <f>HLOOKUP(C457,'5.Equipments'!$AJ$2:$BC$22,(A457+1),FALSE)</f>
        <v>0</v>
      </c>
      <c r="G457" s="526">
        <f t="shared" si="63"/>
        <v>0</v>
      </c>
      <c r="H457" s="525">
        <f>IFERROR(VLOOKUP($B457,'3.Tasks'!$BK$4:$BO$23,2,FALSE),0)</f>
        <v>0</v>
      </c>
      <c r="I457" s="529">
        <f t="shared" si="59"/>
        <v>0</v>
      </c>
      <c r="J457" s="529">
        <f>IFERROR(VLOOKUP($B457,'3.Tasks'!$BK$4:$BO$23,3,FALSE),0)</f>
        <v>0</v>
      </c>
      <c r="K457" s="532">
        <v>0</v>
      </c>
      <c r="L457" s="529">
        <f>IFERROR(VLOOKUP($B457,'3.Tasks'!$BK$4:$BO$23,4,FALSE),0)</f>
        <v>0</v>
      </c>
      <c r="M457" s="532">
        <v>0</v>
      </c>
      <c r="N457" s="529">
        <f>IFERROR(VLOOKUP($B457,'3.Tasks'!$BK$4:$BO$23,5,FALSE),0)</f>
        <v>0</v>
      </c>
      <c r="O457" s="532">
        <v>0</v>
      </c>
      <c r="P457" s="530">
        <f t="shared" si="64"/>
        <v>0</v>
      </c>
    </row>
    <row r="458" spans="1:16">
      <c r="A458" s="529">
        <f t="shared" si="62"/>
        <v>13</v>
      </c>
      <c r="B458" s="529" t="s">
        <v>834</v>
      </c>
      <c r="C458" s="529" t="s">
        <v>34</v>
      </c>
      <c r="D458" s="529" t="str">
        <f>VLOOKUP(A458,Tabela8[[No.]:[Institution**]],9,FALSE)</f>
        <v>FCiências.ID</v>
      </c>
      <c r="E458" s="531" t="s">
        <v>41</v>
      </c>
      <c r="F458" s="529">
        <f>HLOOKUP(C458,'5.Equipments'!$AJ$2:$BC$22,(A458+1),FALSE)</f>
        <v>0</v>
      </c>
      <c r="G458" s="526">
        <f t="shared" si="63"/>
        <v>0</v>
      </c>
      <c r="H458" s="525">
        <f>IFERROR(VLOOKUP($B458,'3.Tasks'!$BK$4:$BO$23,2,FALSE),0)</f>
        <v>0</v>
      </c>
      <c r="I458" s="529">
        <f t="shared" si="59"/>
        <v>0</v>
      </c>
      <c r="J458" s="529">
        <f>IFERROR(VLOOKUP($B458,'3.Tasks'!$BK$4:$BO$23,3,FALSE),0)</f>
        <v>0</v>
      </c>
      <c r="K458" s="532">
        <v>0</v>
      </c>
      <c r="L458" s="529">
        <f>IFERROR(VLOOKUP($B458,'3.Tasks'!$BK$4:$BO$23,4,FALSE),0)</f>
        <v>0</v>
      </c>
      <c r="M458" s="532">
        <v>0</v>
      </c>
      <c r="N458" s="529">
        <f>IFERROR(VLOOKUP($B458,'3.Tasks'!$BK$4:$BO$23,5,FALSE),0)</f>
        <v>0</v>
      </c>
      <c r="O458" s="532">
        <v>0</v>
      </c>
      <c r="P458" s="530">
        <f t="shared" si="64"/>
        <v>0</v>
      </c>
    </row>
    <row r="459" spans="1:16">
      <c r="A459" s="529">
        <f t="shared" si="62"/>
        <v>13</v>
      </c>
      <c r="B459" s="529" t="s">
        <v>835</v>
      </c>
      <c r="C459" s="529" t="s">
        <v>35</v>
      </c>
      <c r="D459" s="529" t="str">
        <f>VLOOKUP(A459,Tabela8[[No.]:[Institution**]],9,FALSE)</f>
        <v>FCiências.ID</v>
      </c>
      <c r="E459" s="531" t="s">
        <v>41</v>
      </c>
      <c r="F459" s="529">
        <f>HLOOKUP(C459,'5.Equipments'!$AJ$2:$BC$22,(A459+1),FALSE)</f>
        <v>0</v>
      </c>
      <c r="G459" s="526">
        <f t="shared" si="63"/>
        <v>0</v>
      </c>
      <c r="H459" s="525">
        <f>IFERROR(VLOOKUP($B459,'3.Tasks'!$BK$4:$BO$23,2,FALSE),0)</f>
        <v>0</v>
      </c>
      <c r="I459" s="529">
        <f t="shared" ref="I459:I522" si="65">+F459</f>
        <v>0</v>
      </c>
      <c r="J459" s="529">
        <f>IFERROR(VLOOKUP($B459,'3.Tasks'!$BK$4:$BO$23,3,FALSE),0)</f>
        <v>0</v>
      </c>
      <c r="K459" s="532">
        <v>0</v>
      </c>
      <c r="L459" s="529">
        <f>IFERROR(VLOOKUP($B459,'3.Tasks'!$BK$4:$BO$23,4,FALSE),0)</f>
        <v>0</v>
      </c>
      <c r="M459" s="532">
        <v>0</v>
      </c>
      <c r="N459" s="529">
        <f>IFERROR(VLOOKUP($B459,'3.Tasks'!$BK$4:$BO$23,5,FALSE),0)</f>
        <v>0</v>
      </c>
      <c r="O459" s="532">
        <v>0</v>
      </c>
      <c r="P459" s="530">
        <f t="shared" si="64"/>
        <v>0</v>
      </c>
    </row>
    <row r="460" spans="1:16">
      <c r="A460" s="529">
        <f t="shared" si="62"/>
        <v>13</v>
      </c>
      <c r="B460" s="529" t="s">
        <v>836</v>
      </c>
      <c r="C460" s="529" t="s">
        <v>36</v>
      </c>
      <c r="D460" s="529" t="str">
        <f>VLOOKUP(A460,Tabela8[[No.]:[Institution**]],9,FALSE)</f>
        <v>FCiências.ID</v>
      </c>
      <c r="E460" s="531" t="s">
        <v>41</v>
      </c>
      <c r="F460" s="529">
        <f>HLOOKUP(C460,'5.Equipments'!$AJ$2:$BC$22,(A460+1),FALSE)</f>
        <v>0</v>
      </c>
      <c r="G460" s="526">
        <f t="shared" si="63"/>
        <v>0</v>
      </c>
      <c r="H460" s="525">
        <f>IFERROR(VLOOKUP($B460,'3.Tasks'!$BK$4:$BO$23,2,FALSE),0)</f>
        <v>0</v>
      </c>
      <c r="I460" s="529">
        <f t="shared" si="65"/>
        <v>0</v>
      </c>
      <c r="J460" s="529">
        <f>IFERROR(VLOOKUP($B460,'3.Tasks'!$BK$4:$BO$23,3,FALSE),0)</f>
        <v>0</v>
      </c>
      <c r="K460" s="532">
        <v>0</v>
      </c>
      <c r="L460" s="529">
        <f>IFERROR(VLOOKUP($B460,'3.Tasks'!$BK$4:$BO$23,4,FALSE),0)</f>
        <v>0</v>
      </c>
      <c r="M460" s="532">
        <v>0</v>
      </c>
      <c r="N460" s="529">
        <f>IFERROR(VLOOKUP($B460,'3.Tasks'!$BK$4:$BO$23,5,FALSE),0)</f>
        <v>0</v>
      </c>
      <c r="O460" s="532">
        <v>0</v>
      </c>
      <c r="P460" s="530">
        <f t="shared" si="64"/>
        <v>0</v>
      </c>
    </row>
    <row r="461" spans="1:16">
      <c r="A461" s="529">
        <f t="shared" si="62"/>
        <v>13</v>
      </c>
      <c r="B461" s="529" t="s">
        <v>837</v>
      </c>
      <c r="C461" s="529" t="s">
        <v>37</v>
      </c>
      <c r="D461" s="529" t="str">
        <f>VLOOKUP(A461,Tabela8[[No.]:[Institution**]],9,FALSE)</f>
        <v>FCiências.ID</v>
      </c>
      <c r="E461" s="531" t="s">
        <v>41</v>
      </c>
      <c r="F461" s="529">
        <f>HLOOKUP(C461,'5.Equipments'!$AJ$2:$BC$22,(A461+1),FALSE)</f>
        <v>0</v>
      </c>
      <c r="G461" s="526">
        <f t="shared" si="63"/>
        <v>0</v>
      </c>
      <c r="H461" s="525">
        <f>IFERROR(VLOOKUP($B461,'3.Tasks'!$BK$4:$BO$23,2,FALSE),0)</f>
        <v>0</v>
      </c>
      <c r="I461" s="529">
        <f t="shared" si="65"/>
        <v>0</v>
      </c>
      <c r="J461" s="529">
        <f>IFERROR(VLOOKUP($B461,'3.Tasks'!$BK$4:$BO$23,3,FALSE),0)</f>
        <v>0</v>
      </c>
      <c r="K461" s="532">
        <v>0</v>
      </c>
      <c r="L461" s="529">
        <f>IFERROR(VLOOKUP($B461,'3.Tasks'!$BK$4:$BO$23,4,FALSE),0)</f>
        <v>0</v>
      </c>
      <c r="M461" s="532">
        <v>0</v>
      </c>
      <c r="N461" s="529">
        <f>IFERROR(VLOOKUP($B461,'3.Tasks'!$BK$4:$BO$23,5,FALSE),0)</f>
        <v>0</v>
      </c>
      <c r="O461" s="532">
        <v>0</v>
      </c>
      <c r="P461" s="530">
        <f t="shared" si="64"/>
        <v>0</v>
      </c>
    </row>
    <row r="462" spans="1:16">
      <c r="A462" s="529">
        <v>14</v>
      </c>
      <c r="B462" s="529" t="s">
        <v>818</v>
      </c>
      <c r="C462" s="529" t="s">
        <v>18</v>
      </c>
      <c r="D462" s="529" t="str">
        <f>VLOOKUP(A462,Tabela8[[No.]:[Institution**]],9,FALSE)</f>
        <v>FCiências.ID</v>
      </c>
      <c r="E462" s="531" t="s">
        <v>41</v>
      </c>
      <c r="F462" s="529">
        <f>HLOOKUP(C462,'5.Equipments'!$AJ$2:$BC$22,(A462+1),FALSE)</f>
        <v>0</v>
      </c>
      <c r="G462" s="526">
        <f t="shared" si="63"/>
        <v>0</v>
      </c>
      <c r="H462" s="525">
        <f>IFERROR(VLOOKUP($B462,'3.Tasks'!$BK$4:$BO$23,2,FALSE),0)</f>
        <v>0</v>
      </c>
      <c r="I462" s="529">
        <f t="shared" si="65"/>
        <v>0</v>
      </c>
      <c r="J462" s="529">
        <f>IFERROR(VLOOKUP($B462,'3.Tasks'!$BK$4:$BO$23,3,FALSE),0)</f>
        <v>0</v>
      </c>
      <c r="K462" s="532">
        <v>0</v>
      </c>
      <c r="L462" s="529">
        <f>IFERROR(VLOOKUP($B462,'3.Tasks'!$BK$4:$BO$23,4,FALSE),0)</f>
        <v>0</v>
      </c>
      <c r="M462" s="532">
        <v>0</v>
      </c>
      <c r="N462" s="529">
        <f>IFERROR(VLOOKUP($B462,'3.Tasks'!$BK$4:$BO$23,5,FALSE),0)</f>
        <v>0</v>
      </c>
      <c r="O462" s="532">
        <v>0</v>
      </c>
      <c r="P462" s="530">
        <f t="shared" si="64"/>
        <v>0</v>
      </c>
    </row>
    <row r="463" spans="1:16">
      <c r="A463" s="529">
        <f>+A462</f>
        <v>14</v>
      </c>
      <c r="B463" s="529" t="s">
        <v>819</v>
      </c>
      <c r="C463" s="529" t="s">
        <v>19</v>
      </c>
      <c r="D463" s="529" t="str">
        <f>VLOOKUP(A463,Tabela8[[No.]:[Institution**]],9,FALSE)</f>
        <v>FCiências.ID</v>
      </c>
      <c r="E463" s="531" t="s">
        <v>41</v>
      </c>
      <c r="F463" s="529">
        <f>HLOOKUP(C463,'5.Equipments'!$AJ$2:$BC$22,(A463+1),FALSE)</f>
        <v>0</v>
      </c>
      <c r="G463" s="526">
        <f t="shared" si="63"/>
        <v>0</v>
      </c>
      <c r="H463" s="525">
        <f>IFERROR(VLOOKUP($B463,'3.Tasks'!$BK$4:$BO$23,2,FALSE),0)</f>
        <v>0</v>
      </c>
      <c r="I463" s="529">
        <f t="shared" si="65"/>
        <v>0</v>
      </c>
      <c r="J463" s="529">
        <f>IFERROR(VLOOKUP($B463,'3.Tasks'!$BK$4:$BO$23,3,FALSE),0)</f>
        <v>0</v>
      </c>
      <c r="K463" s="532">
        <v>0</v>
      </c>
      <c r="L463" s="529">
        <f>IFERROR(VLOOKUP($B463,'3.Tasks'!$BK$4:$BO$23,4,FALSE),0)</f>
        <v>0</v>
      </c>
      <c r="M463" s="532">
        <v>0</v>
      </c>
      <c r="N463" s="529">
        <f>IFERROR(VLOOKUP($B463,'3.Tasks'!$BK$4:$BO$23,5,FALSE),0)</f>
        <v>0</v>
      </c>
      <c r="O463" s="532">
        <v>0</v>
      </c>
      <c r="P463" s="530">
        <f t="shared" si="64"/>
        <v>0</v>
      </c>
    </row>
    <row r="464" spans="1:16">
      <c r="A464" s="529">
        <f t="shared" ref="A464:A481" si="66">+A463</f>
        <v>14</v>
      </c>
      <c r="B464" s="529" t="s">
        <v>820</v>
      </c>
      <c r="C464" s="529" t="s">
        <v>20</v>
      </c>
      <c r="D464" s="529" t="str">
        <f>VLOOKUP(A464,Tabela8[[No.]:[Institution**]],9,FALSE)</f>
        <v>FCiências.ID</v>
      </c>
      <c r="E464" s="531" t="s">
        <v>41</v>
      </c>
      <c r="F464" s="529">
        <f>HLOOKUP(C464,'5.Equipments'!$AJ$2:$BC$22,(A464+1),FALSE)</f>
        <v>0</v>
      </c>
      <c r="G464" s="526">
        <f t="shared" si="63"/>
        <v>0</v>
      </c>
      <c r="H464" s="525">
        <f>IFERROR(VLOOKUP($B464,'3.Tasks'!$BK$4:$BO$23,2,FALSE),0)</f>
        <v>0</v>
      </c>
      <c r="I464" s="529">
        <f t="shared" si="65"/>
        <v>0</v>
      </c>
      <c r="J464" s="529">
        <f>IFERROR(VLOOKUP($B464,'3.Tasks'!$BK$4:$BO$23,3,FALSE),0)</f>
        <v>0</v>
      </c>
      <c r="K464" s="532">
        <v>0</v>
      </c>
      <c r="L464" s="529">
        <f>IFERROR(VLOOKUP($B464,'3.Tasks'!$BK$4:$BO$23,4,FALSE),0)</f>
        <v>0</v>
      </c>
      <c r="M464" s="532">
        <v>0</v>
      </c>
      <c r="N464" s="529">
        <f>IFERROR(VLOOKUP($B464,'3.Tasks'!$BK$4:$BO$23,5,FALSE),0)</f>
        <v>0</v>
      </c>
      <c r="O464" s="532">
        <v>0</v>
      </c>
      <c r="P464" s="530">
        <f t="shared" si="64"/>
        <v>0</v>
      </c>
    </row>
    <row r="465" spans="1:16">
      <c r="A465" s="529">
        <f t="shared" si="66"/>
        <v>14</v>
      </c>
      <c r="B465" s="529" t="s">
        <v>821</v>
      </c>
      <c r="C465" s="529" t="s">
        <v>21</v>
      </c>
      <c r="D465" s="529" t="str">
        <f>VLOOKUP(A465,Tabela8[[No.]:[Institution**]],9,FALSE)</f>
        <v>FCiências.ID</v>
      </c>
      <c r="E465" s="531" t="s">
        <v>41</v>
      </c>
      <c r="F465" s="529">
        <f>HLOOKUP(C465,'5.Equipments'!$AJ$2:$BC$22,(A465+1),FALSE)</f>
        <v>0</v>
      </c>
      <c r="G465" s="526">
        <f t="shared" si="63"/>
        <v>0</v>
      </c>
      <c r="H465" s="525">
        <f>IFERROR(VLOOKUP($B465,'3.Tasks'!$BK$4:$BO$23,2,FALSE),0)</f>
        <v>0</v>
      </c>
      <c r="I465" s="529">
        <f t="shared" si="65"/>
        <v>0</v>
      </c>
      <c r="J465" s="529">
        <f>IFERROR(VLOOKUP($B465,'3.Tasks'!$BK$4:$BO$23,3,FALSE),0)</f>
        <v>0</v>
      </c>
      <c r="K465" s="532">
        <v>0</v>
      </c>
      <c r="L465" s="529">
        <f>IFERROR(VLOOKUP($B465,'3.Tasks'!$BK$4:$BO$23,4,FALSE),0)</f>
        <v>0</v>
      </c>
      <c r="M465" s="532">
        <v>0</v>
      </c>
      <c r="N465" s="529">
        <f>IFERROR(VLOOKUP($B465,'3.Tasks'!$BK$4:$BO$23,5,FALSE),0)</f>
        <v>0</v>
      </c>
      <c r="O465" s="532">
        <v>0</v>
      </c>
      <c r="P465" s="530">
        <f t="shared" si="64"/>
        <v>0</v>
      </c>
    </row>
    <row r="466" spans="1:16">
      <c r="A466" s="529">
        <f t="shared" si="66"/>
        <v>14</v>
      </c>
      <c r="B466" s="529" t="s">
        <v>822</v>
      </c>
      <c r="C466" s="529" t="s">
        <v>22</v>
      </c>
      <c r="D466" s="529" t="str">
        <f>VLOOKUP(A466,Tabela8[[No.]:[Institution**]],9,FALSE)</f>
        <v>FCiências.ID</v>
      </c>
      <c r="E466" s="531" t="s">
        <v>41</v>
      </c>
      <c r="F466" s="529">
        <f>HLOOKUP(C466,'5.Equipments'!$AJ$2:$BC$22,(A466+1),FALSE)</f>
        <v>0</v>
      </c>
      <c r="G466" s="526">
        <f t="shared" si="63"/>
        <v>0</v>
      </c>
      <c r="H466" s="525">
        <f>IFERROR(VLOOKUP($B466,'3.Tasks'!$BK$4:$BO$23,2,FALSE),0)</f>
        <v>0</v>
      </c>
      <c r="I466" s="529">
        <f t="shared" si="65"/>
        <v>0</v>
      </c>
      <c r="J466" s="529">
        <f>IFERROR(VLOOKUP($B466,'3.Tasks'!$BK$4:$BO$23,3,FALSE),0)</f>
        <v>0</v>
      </c>
      <c r="K466" s="532">
        <v>0</v>
      </c>
      <c r="L466" s="529">
        <f>IFERROR(VLOOKUP($B466,'3.Tasks'!$BK$4:$BO$23,4,FALSE),0)</f>
        <v>0</v>
      </c>
      <c r="M466" s="532">
        <v>0</v>
      </c>
      <c r="N466" s="529">
        <f>IFERROR(VLOOKUP($B466,'3.Tasks'!$BK$4:$BO$23,5,FALSE),0)</f>
        <v>0</v>
      </c>
      <c r="O466" s="532">
        <v>0</v>
      </c>
      <c r="P466" s="530">
        <f t="shared" si="64"/>
        <v>0</v>
      </c>
    </row>
    <row r="467" spans="1:16">
      <c r="A467" s="529">
        <f t="shared" si="66"/>
        <v>14</v>
      </c>
      <c r="B467" s="529" t="s">
        <v>823</v>
      </c>
      <c r="C467" s="529" t="s">
        <v>23</v>
      </c>
      <c r="D467" s="529" t="str">
        <f>VLOOKUP(A467,Tabela8[[No.]:[Institution**]],9,FALSE)</f>
        <v>FCiências.ID</v>
      </c>
      <c r="E467" s="531" t="s">
        <v>41</v>
      </c>
      <c r="F467" s="529">
        <f>HLOOKUP(C467,'5.Equipments'!$AJ$2:$BC$22,(A467+1),FALSE)</f>
        <v>0</v>
      </c>
      <c r="G467" s="526">
        <f t="shared" si="63"/>
        <v>0</v>
      </c>
      <c r="H467" s="525">
        <f>IFERROR(VLOOKUP($B467,'3.Tasks'!$BK$4:$BO$23,2,FALSE),0)</f>
        <v>0</v>
      </c>
      <c r="I467" s="529">
        <f t="shared" si="65"/>
        <v>0</v>
      </c>
      <c r="J467" s="529">
        <f>IFERROR(VLOOKUP($B467,'3.Tasks'!$BK$4:$BO$23,3,FALSE),0)</f>
        <v>0</v>
      </c>
      <c r="K467" s="532">
        <v>0</v>
      </c>
      <c r="L467" s="529">
        <f>IFERROR(VLOOKUP($B467,'3.Tasks'!$BK$4:$BO$23,4,FALSE),0)</f>
        <v>0</v>
      </c>
      <c r="M467" s="532">
        <v>0</v>
      </c>
      <c r="N467" s="529">
        <f>IFERROR(VLOOKUP($B467,'3.Tasks'!$BK$4:$BO$23,5,FALSE),0)</f>
        <v>0</v>
      </c>
      <c r="O467" s="532">
        <v>0</v>
      </c>
      <c r="P467" s="530">
        <f t="shared" si="64"/>
        <v>0</v>
      </c>
    </row>
    <row r="468" spans="1:16">
      <c r="A468" s="529">
        <f t="shared" si="66"/>
        <v>14</v>
      </c>
      <c r="B468" s="529" t="s">
        <v>824</v>
      </c>
      <c r="C468" s="529" t="s">
        <v>24</v>
      </c>
      <c r="D468" s="529" t="str">
        <f>VLOOKUP(A468,Tabela8[[No.]:[Institution**]],9,FALSE)</f>
        <v>FCiências.ID</v>
      </c>
      <c r="E468" s="531" t="s">
        <v>41</v>
      </c>
      <c r="F468" s="529">
        <f>HLOOKUP(C468,'5.Equipments'!$AJ$2:$BC$22,(A468+1),FALSE)</f>
        <v>0</v>
      </c>
      <c r="G468" s="526">
        <f t="shared" si="63"/>
        <v>0</v>
      </c>
      <c r="H468" s="525">
        <f>IFERROR(VLOOKUP($B468,'3.Tasks'!$BK$4:$BO$23,2,FALSE),0)</f>
        <v>0</v>
      </c>
      <c r="I468" s="529">
        <f t="shared" si="65"/>
        <v>0</v>
      </c>
      <c r="J468" s="529">
        <f>IFERROR(VLOOKUP($B468,'3.Tasks'!$BK$4:$BO$23,3,FALSE),0)</f>
        <v>0</v>
      </c>
      <c r="K468" s="532">
        <v>0</v>
      </c>
      <c r="L468" s="529">
        <f>IFERROR(VLOOKUP($B468,'3.Tasks'!$BK$4:$BO$23,4,FALSE),0)</f>
        <v>0</v>
      </c>
      <c r="M468" s="532">
        <v>0</v>
      </c>
      <c r="N468" s="529">
        <f>IFERROR(VLOOKUP($B468,'3.Tasks'!$BK$4:$BO$23,5,FALSE),0)</f>
        <v>0</v>
      </c>
      <c r="O468" s="532">
        <v>0</v>
      </c>
      <c r="P468" s="530">
        <f t="shared" si="64"/>
        <v>0</v>
      </c>
    </row>
    <row r="469" spans="1:16">
      <c r="A469" s="529">
        <f t="shared" si="66"/>
        <v>14</v>
      </c>
      <c r="B469" s="529" t="s">
        <v>825</v>
      </c>
      <c r="C469" s="529" t="s">
        <v>25</v>
      </c>
      <c r="D469" s="529" t="str">
        <f>VLOOKUP(A469,Tabela8[[No.]:[Institution**]],9,FALSE)</f>
        <v>FCiências.ID</v>
      </c>
      <c r="E469" s="531" t="s">
        <v>41</v>
      </c>
      <c r="F469" s="529">
        <f>HLOOKUP(C469,'5.Equipments'!$AJ$2:$BC$22,(A469+1),FALSE)</f>
        <v>0</v>
      </c>
      <c r="G469" s="526">
        <f t="shared" si="63"/>
        <v>0</v>
      </c>
      <c r="H469" s="525">
        <f>IFERROR(VLOOKUP($B469,'3.Tasks'!$BK$4:$BO$23,2,FALSE),0)</f>
        <v>0</v>
      </c>
      <c r="I469" s="529">
        <f t="shared" si="65"/>
        <v>0</v>
      </c>
      <c r="J469" s="529">
        <f>IFERROR(VLOOKUP($B469,'3.Tasks'!$BK$4:$BO$23,3,FALSE),0)</f>
        <v>0</v>
      </c>
      <c r="K469" s="532">
        <v>0</v>
      </c>
      <c r="L469" s="529">
        <f>IFERROR(VLOOKUP($B469,'3.Tasks'!$BK$4:$BO$23,4,FALSE),0)</f>
        <v>0</v>
      </c>
      <c r="M469" s="532">
        <v>0</v>
      </c>
      <c r="N469" s="529">
        <f>IFERROR(VLOOKUP($B469,'3.Tasks'!$BK$4:$BO$23,5,FALSE),0)</f>
        <v>0</v>
      </c>
      <c r="O469" s="532">
        <v>0</v>
      </c>
      <c r="P469" s="530">
        <f t="shared" si="64"/>
        <v>0</v>
      </c>
    </row>
    <row r="470" spans="1:16">
      <c r="A470" s="529">
        <f t="shared" si="66"/>
        <v>14</v>
      </c>
      <c r="B470" s="529" t="s">
        <v>826</v>
      </c>
      <c r="C470" s="529" t="s">
        <v>26</v>
      </c>
      <c r="D470" s="529" t="str">
        <f>VLOOKUP(A470,Tabela8[[No.]:[Institution**]],9,FALSE)</f>
        <v>FCiências.ID</v>
      </c>
      <c r="E470" s="531" t="s">
        <v>41</v>
      </c>
      <c r="F470" s="529">
        <f>HLOOKUP(C470,'5.Equipments'!$AJ$2:$BC$22,(A470+1),FALSE)</f>
        <v>0</v>
      </c>
      <c r="G470" s="526">
        <f t="shared" si="63"/>
        <v>0</v>
      </c>
      <c r="H470" s="525">
        <f>IFERROR(VLOOKUP($B470,'3.Tasks'!$BK$4:$BO$23,2,FALSE),0)</f>
        <v>0</v>
      </c>
      <c r="I470" s="529">
        <f t="shared" si="65"/>
        <v>0</v>
      </c>
      <c r="J470" s="529">
        <f>IFERROR(VLOOKUP($B470,'3.Tasks'!$BK$4:$BO$23,3,FALSE),0)</f>
        <v>0</v>
      </c>
      <c r="K470" s="532">
        <v>0</v>
      </c>
      <c r="L470" s="529">
        <f>IFERROR(VLOOKUP($B470,'3.Tasks'!$BK$4:$BO$23,4,FALSE),0)</f>
        <v>0</v>
      </c>
      <c r="M470" s="532">
        <v>0</v>
      </c>
      <c r="N470" s="529">
        <f>IFERROR(VLOOKUP($B470,'3.Tasks'!$BK$4:$BO$23,5,FALSE),0)</f>
        <v>0</v>
      </c>
      <c r="O470" s="532">
        <v>0</v>
      </c>
      <c r="P470" s="530">
        <f t="shared" si="64"/>
        <v>0</v>
      </c>
    </row>
    <row r="471" spans="1:16">
      <c r="A471" s="529">
        <f t="shared" si="66"/>
        <v>14</v>
      </c>
      <c r="B471" s="529" t="s">
        <v>827</v>
      </c>
      <c r="C471" s="529" t="s">
        <v>27</v>
      </c>
      <c r="D471" s="529" t="str">
        <f>VLOOKUP(A471,Tabela8[[No.]:[Institution**]],9,FALSE)</f>
        <v>FCiências.ID</v>
      </c>
      <c r="E471" s="531" t="s">
        <v>41</v>
      </c>
      <c r="F471" s="529">
        <f>HLOOKUP(C471,'5.Equipments'!$AJ$2:$BC$22,(A471+1),FALSE)</f>
        <v>0</v>
      </c>
      <c r="G471" s="526">
        <f t="shared" si="63"/>
        <v>0</v>
      </c>
      <c r="H471" s="525">
        <f>IFERROR(VLOOKUP($B471,'3.Tasks'!$BK$4:$BO$23,2,FALSE),0)</f>
        <v>0</v>
      </c>
      <c r="I471" s="529">
        <f t="shared" si="65"/>
        <v>0</v>
      </c>
      <c r="J471" s="529">
        <f>IFERROR(VLOOKUP($B471,'3.Tasks'!$BK$4:$BO$23,3,FALSE),0)</f>
        <v>0</v>
      </c>
      <c r="K471" s="532">
        <v>0</v>
      </c>
      <c r="L471" s="529">
        <f>IFERROR(VLOOKUP($B471,'3.Tasks'!$BK$4:$BO$23,4,FALSE),0)</f>
        <v>0</v>
      </c>
      <c r="M471" s="532">
        <v>0</v>
      </c>
      <c r="N471" s="529">
        <f>IFERROR(VLOOKUP($B471,'3.Tasks'!$BK$4:$BO$23,5,FALSE),0)</f>
        <v>0</v>
      </c>
      <c r="O471" s="532">
        <v>0</v>
      </c>
      <c r="P471" s="530">
        <f t="shared" si="64"/>
        <v>0</v>
      </c>
    </row>
    <row r="472" spans="1:16">
      <c r="A472" s="529">
        <f t="shared" si="66"/>
        <v>14</v>
      </c>
      <c r="B472" s="529" t="s">
        <v>828</v>
      </c>
      <c r="C472" s="529" t="s">
        <v>28</v>
      </c>
      <c r="D472" s="529" t="str">
        <f>VLOOKUP(A472,Tabela8[[No.]:[Institution**]],9,FALSE)</f>
        <v>FCiências.ID</v>
      </c>
      <c r="E472" s="531" t="s">
        <v>41</v>
      </c>
      <c r="F472" s="529">
        <f>HLOOKUP(C472,'5.Equipments'!$AJ$2:$BC$22,(A472+1),FALSE)</f>
        <v>0</v>
      </c>
      <c r="G472" s="526">
        <f t="shared" si="63"/>
        <v>0</v>
      </c>
      <c r="H472" s="525">
        <f>IFERROR(VLOOKUP($B472,'3.Tasks'!$BK$4:$BO$23,2,FALSE),0)</f>
        <v>0</v>
      </c>
      <c r="I472" s="529">
        <f t="shared" si="65"/>
        <v>0</v>
      </c>
      <c r="J472" s="529">
        <f>IFERROR(VLOOKUP($B472,'3.Tasks'!$BK$4:$BO$23,3,FALSE),0)</f>
        <v>0</v>
      </c>
      <c r="K472" s="532">
        <v>0</v>
      </c>
      <c r="L472" s="529">
        <f>IFERROR(VLOOKUP($B472,'3.Tasks'!$BK$4:$BO$23,4,FALSE),0)</f>
        <v>0</v>
      </c>
      <c r="M472" s="532">
        <v>0</v>
      </c>
      <c r="N472" s="529">
        <f>IFERROR(VLOOKUP($B472,'3.Tasks'!$BK$4:$BO$23,5,FALSE),0)</f>
        <v>0</v>
      </c>
      <c r="O472" s="532">
        <v>0</v>
      </c>
      <c r="P472" s="530">
        <f t="shared" si="64"/>
        <v>0</v>
      </c>
    </row>
    <row r="473" spans="1:16">
      <c r="A473" s="529">
        <f t="shared" si="66"/>
        <v>14</v>
      </c>
      <c r="B473" s="529" t="s">
        <v>829</v>
      </c>
      <c r="C473" s="529" t="s">
        <v>29</v>
      </c>
      <c r="D473" s="529" t="str">
        <f>VLOOKUP(A473,Tabela8[[No.]:[Institution**]],9,FALSE)</f>
        <v>FCiências.ID</v>
      </c>
      <c r="E473" s="531" t="s">
        <v>41</v>
      </c>
      <c r="F473" s="529">
        <f>HLOOKUP(C473,'5.Equipments'!$AJ$2:$BC$22,(A473+1),FALSE)</f>
        <v>0</v>
      </c>
      <c r="G473" s="526">
        <f t="shared" si="63"/>
        <v>0</v>
      </c>
      <c r="H473" s="525">
        <f>IFERROR(VLOOKUP($B473,'3.Tasks'!$BK$4:$BO$23,2,FALSE),0)</f>
        <v>0</v>
      </c>
      <c r="I473" s="529">
        <f t="shared" si="65"/>
        <v>0</v>
      </c>
      <c r="J473" s="529">
        <f>IFERROR(VLOOKUP($B473,'3.Tasks'!$BK$4:$BO$23,3,FALSE),0)</f>
        <v>0</v>
      </c>
      <c r="K473" s="532">
        <v>0</v>
      </c>
      <c r="L473" s="529">
        <f>IFERROR(VLOOKUP($B473,'3.Tasks'!$BK$4:$BO$23,4,FALSE),0)</f>
        <v>0</v>
      </c>
      <c r="M473" s="532">
        <v>0</v>
      </c>
      <c r="N473" s="529">
        <f>IFERROR(VLOOKUP($B473,'3.Tasks'!$BK$4:$BO$23,5,FALSE),0)</f>
        <v>0</v>
      </c>
      <c r="O473" s="532">
        <v>0</v>
      </c>
      <c r="P473" s="530">
        <f t="shared" si="64"/>
        <v>0</v>
      </c>
    </row>
    <row r="474" spans="1:16">
      <c r="A474" s="529">
        <f t="shared" si="66"/>
        <v>14</v>
      </c>
      <c r="B474" s="529" t="s">
        <v>830</v>
      </c>
      <c r="C474" s="529" t="s">
        <v>30</v>
      </c>
      <c r="D474" s="529" t="str">
        <f>VLOOKUP(A474,Tabela8[[No.]:[Institution**]],9,FALSE)</f>
        <v>FCiências.ID</v>
      </c>
      <c r="E474" s="531" t="s">
        <v>41</v>
      </c>
      <c r="F474" s="529">
        <f>HLOOKUP(C474,'5.Equipments'!$AJ$2:$BC$22,(A474+1),FALSE)</f>
        <v>0</v>
      </c>
      <c r="G474" s="526">
        <f t="shared" si="63"/>
        <v>0</v>
      </c>
      <c r="H474" s="525">
        <f>IFERROR(VLOOKUP($B474,'3.Tasks'!$BK$4:$BO$23,2,FALSE),0)</f>
        <v>0</v>
      </c>
      <c r="I474" s="529">
        <f t="shared" si="65"/>
        <v>0</v>
      </c>
      <c r="J474" s="529">
        <f>IFERROR(VLOOKUP($B474,'3.Tasks'!$BK$4:$BO$23,3,FALSE),0)</f>
        <v>0</v>
      </c>
      <c r="K474" s="532">
        <v>0</v>
      </c>
      <c r="L474" s="529">
        <f>IFERROR(VLOOKUP($B474,'3.Tasks'!$BK$4:$BO$23,4,FALSE),0)</f>
        <v>0</v>
      </c>
      <c r="M474" s="532">
        <v>0</v>
      </c>
      <c r="N474" s="529">
        <f>IFERROR(VLOOKUP($B474,'3.Tasks'!$BK$4:$BO$23,5,FALSE),0)</f>
        <v>0</v>
      </c>
      <c r="O474" s="532">
        <v>0</v>
      </c>
      <c r="P474" s="530">
        <f t="shared" si="64"/>
        <v>0</v>
      </c>
    </row>
    <row r="475" spans="1:16">
      <c r="A475" s="529">
        <f t="shared" si="66"/>
        <v>14</v>
      </c>
      <c r="B475" s="529" t="s">
        <v>831</v>
      </c>
      <c r="C475" s="529" t="s">
        <v>31</v>
      </c>
      <c r="D475" s="529" t="str">
        <f>VLOOKUP(A475,Tabela8[[No.]:[Institution**]],9,FALSE)</f>
        <v>FCiências.ID</v>
      </c>
      <c r="E475" s="531" t="s">
        <v>41</v>
      </c>
      <c r="F475" s="529">
        <f>HLOOKUP(C475,'5.Equipments'!$AJ$2:$BC$22,(A475+1),FALSE)</f>
        <v>0</v>
      </c>
      <c r="G475" s="526">
        <f t="shared" si="63"/>
        <v>0</v>
      </c>
      <c r="H475" s="525">
        <f>IFERROR(VLOOKUP($B475,'3.Tasks'!$BK$4:$BO$23,2,FALSE),0)</f>
        <v>0</v>
      </c>
      <c r="I475" s="529">
        <f t="shared" si="65"/>
        <v>0</v>
      </c>
      <c r="J475" s="529">
        <f>IFERROR(VLOOKUP($B475,'3.Tasks'!$BK$4:$BO$23,3,FALSE),0)</f>
        <v>0</v>
      </c>
      <c r="K475" s="532">
        <v>0</v>
      </c>
      <c r="L475" s="529">
        <f>IFERROR(VLOOKUP($B475,'3.Tasks'!$BK$4:$BO$23,4,FALSE),0)</f>
        <v>0</v>
      </c>
      <c r="M475" s="532">
        <v>0</v>
      </c>
      <c r="N475" s="529">
        <f>IFERROR(VLOOKUP($B475,'3.Tasks'!$BK$4:$BO$23,5,FALSE),0)</f>
        <v>0</v>
      </c>
      <c r="O475" s="532">
        <v>0</v>
      </c>
      <c r="P475" s="530">
        <f t="shared" si="64"/>
        <v>0</v>
      </c>
    </row>
    <row r="476" spans="1:16">
      <c r="A476" s="529">
        <f t="shared" si="66"/>
        <v>14</v>
      </c>
      <c r="B476" s="529" t="s">
        <v>832</v>
      </c>
      <c r="C476" s="529" t="s">
        <v>32</v>
      </c>
      <c r="D476" s="529" t="str">
        <f>VLOOKUP(A476,Tabela8[[No.]:[Institution**]],9,FALSE)</f>
        <v>FCiências.ID</v>
      </c>
      <c r="E476" s="531" t="s">
        <v>41</v>
      </c>
      <c r="F476" s="529">
        <f>HLOOKUP(C476,'5.Equipments'!$AJ$2:$BC$22,(A476+1),FALSE)</f>
        <v>0</v>
      </c>
      <c r="G476" s="526">
        <f t="shared" si="63"/>
        <v>0</v>
      </c>
      <c r="H476" s="525">
        <f>IFERROR(VLOOKUP($B476,'3.Tasks'!$BK$4:$BO$23,2,FALSE),0)</f>
        <v>0</v>
      </c>
      <c r="I476" s="529">
        <f t="shared" si="65"/>
        <v>0</v>
      </c>
      <c r="J476" s="529">
        <f>IFERROR(VLOOKUP($B476,'3.Tasks'!$BK$4:$BO$23,3,FALSE),0)</f>
        <v>0</v>
      </c>
      <c r="K476" s="532">
        <v>0</v>
      </c>
      <c r="L476" s="529">
        <f>IFERROR(VLOOKUP($B476,'3.Tasks'!$BK$4:$BO$23,4,FALSE),0)</f>
        <v>0</v>
      </c>
      <c r="M476" s="532">
        <v>0</v>
      </c>
      <c r="N476" s="529">
        <f>IFERROR(VLOOKUP($B476,'3.Tasks'!$BK$4:$BO$23,5,FALSE),0)</f>
        <v>0</v>
      </c>
      <c r="O476" s="532">
        <v>0</v>
      </c>
      <c r="P476" s="530">
        <f t="shared" si="64"/>
        <v>0</v>
      </c>
    </row>
    <row r="477" spans="1:16">
      <c r="A477" s="529">
        <f t="shared" si="66"/>
        <v>14</v>
      </c>
      <c r="B477" s="529" t="s">
        <v>833</v>
      </c>
      <c r="C477" s="529" t="s">
        <v>33</v>
      </c>
      <c r="D477" s="529" t="str">
        <f>VLOOKUP(A477,Tabela8[[No.]:[Institution**]],9,FALSE)</f>
        <v>FCiências.ID</v>
      </c>
      <c r="E477" s="531" t="s">
        <v>41</v>
      </c>
      <c r="F477" s="529">
        <f>HLOOKUP(C477,'5.Equipments'!$AJ$2:$BC$22,(A477+1),FALSE)</f>
        <v>0</v>
      </c>
      <c r="G477" s="526">
        <f t="shared" si="63"/>
        <v>0</v>
      </c>
      <c r="H477" s="525">
        <f>IFERROR(VLOOKUP($B477,'3.Tasks'!$BK$4:$BO$23,2,FALSE),0)</f>
        <v>0</v>
      </c>
      <c r="I477" s="529">
        <f t="shared" si="65"/>
        <v>0</v>
      </c>
      <c r="J477" s="529">
        <f>IFERROR(VLOOKUP($B477,'3.Tasks'!$BK$4:$BO$23,3,FALSE),0)</f>
        <v>0</v>
      </c>
      <c r="K477" s="532">
        <v>0</v>
      </c>
      <c r="L477" s="529">
        <f>IFERROR(VLOOKUP($B477,'3.Tasks'!$BK$4:$BO$23,4,FALSE),0)</f>
        <v>0</v>
      </c>
      <c r="M477" s="532">
        <v>0</v>
      </c>
      <c r="N477" s="529">
        <f>IFERROR(VLOOKUP($B477,'3.Tasks'!$BK$4:$BO$23,5,FALSE),0)</f>
        <v>0</v>
      </c>
      <c r="O477" s="532">
        <v>0</v>
      </c>
      <c r="P477" s="530">
        <f t="shared" si="64"/>
        <v>0</v>
      </c>
    </row>
    <row r="478" spans="1:16">
      <c r="A478" s="529">
        <f t="shared" si="66"/>
        <v>14</v>
      </c>
      <c r="B478" s="529" t="s">
        <v>834</v>
      </c>
      <c r="C478" s="529" t="s">
        <v>34</v>
      </c>
      <c r="D478" s="529" t="str">
        <f>VLOOKUP(A478,Tabela8[[No.]:[Institution**]],9,FALSE)</f>
        <v>FCiências.ID</v>
      </c>
      <c r="E478" s="531" t="s">
        <v>41</v>
      </c>
      <c r="F478" s="529">
        <f>HLOOKUP(C478,'5.Equipments'!$AJ$2:$BC$22,(A478+1),FALSE)</f>
        <v>0</v>
      </c>
      <c r="G478" s="526">
        <f t="shared" si="63"/>
        <v>0</v>
      </c>
      <c r="H478" s="525">
        <f>IFERROR(VLOOKUP($B478,'3.Tasks'!$BK$4:$BO$23,2,FALSE),0)</f>
        <v>0</v>
      </c>
      <c r="I478" s="529">
        <f t="shared" si="65"/>
        <v>0</v>
      </c>
      <c r="J478" s="529">
        <f>IFERROR(VLOOKUP($B478,'3.Tasks'!$BK$4:$BO$23,3,FALSE),0)</f>
        <v>0</v>
      </c>
      <c r="K478" s="532">
        <v>0</v>
      </c>
      <c r="L478" s="529">
        <f>IFERROR(VLOOKUP($B478,'3.Tasks'!$BK$4:$BO$23,4,FALSE),0)</f>
        <v>0</v>
      </c>
      <c r="M478" s="532">
        <v>0</v>
      </c>
      <c r="N478" s="529">
        <f>IFERROR(VLOOKUP($B478,'3.Tasks'!$BK$4:$BO$23,5,FALSE),0)</f>
        <v>0</v>
      </c>
      <c r="O478" s="532">
        <v>0</v>
      </c>
      <c r="P478" s="530">
        <f t="shared" si="64"/>
        <v>0</v>
      </c>
    </row>
    <row r="479" spans="1:16">
      <c r="A479" s="529">
        <f t="shared" si="66"/>
        <v>14</v>
      </c>
      <c r="B479" s="529" t="s">
        <v>835</v>
      </c>
      <c r="C479" s="529" t="s">
        <v>35</v>
      </c>
      <c r="D479" s="529" t="str">
        <f>VLOOKUP(A479,Tabela8[[No.]:[Institution**]],9,FALSE)</f>
        <v>FCiências.ID</v>
      </c>
      <c r="E479" s="531" t="s">
        <v>41</v>
      </c>
      <c r="F479" s="529">
        <f>HLOOKUP(C479,'5.Equipments'!$AJ$2:$BC$22,(A479+1),FALSE)</f>
        <v>0</v>
      </c>
      <c r="G479" s="526">
        <f t="shared" si="63"/>
        <v>0</v>
      </c>
      <c r="H479" s="525">
        <f>IFERROR(VLOOKUP($B479,'3.Tasks'!$BK$4:$BO$23,2,FALSE),0)</f>
        <v>0</v>
      </c>
      <c r="I479" s="529">
        <f t="shared" si="65"/>
        <v>0</v>
      </c>
      <c r="J479" s="529">
        <f>IFERROR(VLOOKUP($B479,'3.Tasks'!$BK$4:$BO$23,3,FALSE),0)</f>
        <v>0</v>
      </c>
      <c r="K479" s="532">
        <v>0</v>
      </c>
      <c r="L479" s="529">
        <f>IFERROR(VLOOKUP($B479,'3.Tasks'!$BK$4:$BO$23,4,FALSE),0)</f>
        <v>0</v>
      </c>
      <c r="M479" s="532">
        <v>0</v>
      </c>
      <c r="N479" s="529">
        <f>IFERROR(VLOOKUP($B479,'3.Tasks'!$BK$4:$BO$23,5,FALSE),0)</f>
        <v>0</v>
      </c>
      <c r="O479" s="532">
        <v>0</v>
      </c>
      <c r="P479" s="530">
        <f t="shared" si="64"/>
        <v>0</v>
      </c>
    </row>
    <row r="480" spans="1:16">
      <c r="A480" s="529">
        <f t="shared" si="66"/>
        <v>14</v>
      </c>
      <c r="B480" s="529" t="s">
        <v>836</v>
      </c>
      <c r="C480" s="529" t="s">
        <v>36</v>
      </c>
      <c r="D480" s="529" t="str">
        <f>VLOOKUP(A480,Tabela8[[No.]:[Institution**]],9,FALSE)</f>
        <v>FCiências.ID</v>
      </c>
      <c r="E480" s="531" t="s">
        <v>41</v>
      </c>
      <c r="F480" s="529">
        <f>HLOOKUP(C480,'5.Equipments'!$AJ$2:$BC$22,(A480+1),FALSE)</f>
        <v>0</v>
      </c>
      <c r="G480" s="526">
        <f t="shared" si="63"/>
        <v>0</v>
      </c>
      <c r="H480" s="525">
        <f>IFERROR(VLOOKUP($B480,'3.Tasks'!$BK$4:$BO$23,2,FALSE),0)</f>
        <v>0</v>
      </c>
      <c r="I480" s="529">
        <f t="shared" si="65"/>
        <v>0</v>
      </c>
      <c r="J480" s="529">
        <f>IFERROR(VLOOKUP($B480,'3.Tasks'!$BK$4:$BO$23,3,FALSE),0)</f>
        <v>0</v>
      </c>
      <c r="K480" s="532">
        <v>0</v>
      </c>
      <c r="L480" s="529">
        <f>IFERROR(VLOOKUP($B480,'3.Tasks'!$BK$4:$BO$23,4,FALSE),0)</f>
        <v>0</v>
      </c>
      <c r="M480" s="532">
        <v>0</v>
      </c>
      <c r="N480" s="529">
        <f>IFERROR(VLOOKUP($B480,'3.Tasks'!$BK$4:$BO$23,5,FALSE),0)</f>
        <v>0</v>
      </c>
      <c r="O480" s="532">
        <v>0</v>
      </c>
      <c r="P480" s="530">
        <f t="shared" si="64"/>
        <v>0</v>
      </c>
    </row>
    <row r="481" spans="1:16">
      <c r="A481" s="529">
        <f t="shared" si="66"/>
        <v>14</v>
      </c>
      <c r="B481" s="529" t="s">
        <v>837</v>
      </c>
      <c r="C481" s="529" t="s">
        <v>37</v>
      </c>
      <c r="D481" s="529" t="str">
        <f>VLOOKUP(A481,Tabela8[[No.]:[Institution**]],9,FALSE)</f>
        <v>FCiências.ID</v>
      </c>
      <c r="E481" s="531" t="s">
        <v>41</v>
      </c>
      <c r="F481" s="529">
        <f>HLOOKUP(C481,'5.Equipments'!$AJ$2:$BC$22,(A481+1),FALSE)</f>
        <v>0</v>
      </c>
      <c r="G481" s="526">
        <f t="shared" si="63"/>
        <v>0</v>
      </c>
      <c r="H481" s="525">
        <f>IFERROR(VLOOKUP($B481,'3.Tasks'!$BK$4:$BO$23,2,FALSE),0)</f>
        <v>0</v>
      </c>
      <c r="I481" s="529">
        <f t="shared" si="65"/>
        <v>0</v>
      </c>
      <c r="J481" s="529">
        <f>IFERROR(VLOOKUP($B481,'3.Tasks'!$BK$4:$BO$23,3,FALSE),0)</f>
        <v>0</v>
      </c>
      <c r="K481" s="532">
        <v>0</v>
      </c>
      <c r="L481" s="529">
        <f>IFERROR(VLOOKUP($B481,'3.Tasks'!$BK$4:$BO$23,4,FALSE),0)</f>
        <v>0</v>
      </c>
      <c r="M481" s="532">
        <v>0</v>
      </c>
      <c r="N481" s="529">
        <f>IFERROR(VLOOKUP($B481,'3.Tasks'!$BK$4:$BO$23,5,FALSE),0)</f>
        <v>0</v>
      </c>
      <c r="O481" s="532">
        <v>0</v>
      </c>
      <c r="P481" s="530">
        <f t="shared" si="64"/>
        <v>0</v>
      </c>
    </row>
    <row r="482" spans="1:16">
      <c r="A482" s="529">
        <v>15</v>
      </c>
      <c r="B482" s="529" t="s">
        <v>818</v>
      </c>
      <c r="C482" s="529" t="s">
        <v>18</v>
      </c>
      <c r="D482" s="529" t="str">
        <f>VLOOKUP(A482,Tabela8[[No.]:[Institution**]],9,FALSE)</f>
        <v>FCiências.ID</v>
      </c>
      <c r="E482" s="531" t="s">
        <v>41</v>
      </c>
      <c r="F482" s="529">
        <f>HLOOKUP(C482,'5.Equipments'!$AJ$2:$BC$22,(A482+1),FALSE)</f>
        <v>0</v>
      </c>
      <c r="G482" s="526">
        <f t="shared" si="63"/>
        <v>0</v>
      </c>
      <c r="H482" s="525">
        <f>IFERROR(VLOOKUP($B482,'3.Tasks'!$BK$4:$BO$23,2,FALSE),0)</f>
        <v>0</v>
      </c>
      <c r="I482" s="529">
        <f t="shared" si="65"/>
        <v>0</v>
      </c>
      <c r="J482" s="529">
        <f>IFERROR(VLOOKUP($B482,'3.Tasks'!$BK$4:$BO$23,3,FALSE),0)</f>
        <v>0</v>
      </c>
      <c r="K482" s="532">
        <v>0</v>
      </c>
      <c r="L482" s="529">
        <f>IFERROR(VLOOKUP($B482,'3.Tasks'!$BK$4:$BO$23,4,FALSE),0)</f>
        <v>0</v>
      </c>
      <c r="M482" s="532">
        <v>0</v>
      </c>
      <c r="N482" s="529">
        <f>IFERROR(VLOOKUP($B482,'3.Tasks'!$BK$4:$BO$23,5,FALSE),0)</f>
        <v>0</v>
      </c>
      <c r="O482" s="532">
        <v>0</v>
      </c>
      <c r="P482" s="530">
        <f t="shared" si="64"/>
        <v>0</v>
      </c>
    </row>
    <row r="483" spans="1:16">
      <c r="A483" s="529">
        <f>+A482</f>
        <v>15</v>
      </c>
      <c r="B483" s="529" t="s">
        <v>819</v>
      </c>
      <c r="C483" s="529" t="s">
        <v>19</v>
      </c>
      <c r="D483" s="529" t="str">
        <f>VLOOKUP(A483,Tabela8[[No.]:[Institution**]],9,FALSE)</f>
        <v>FCiências.ID</v>
      </c>
      <c r="E483" s="531" t="s">
        <v>41</v>
      </c>
      <c r="F483" s="529">
        <f>HLOOKUP(C483,'5.Equipments'!$AJ$2:$BC$22,(A483+1),FALSE)</f>
        <v>0</v>
      </c>
      <c r="G483" s="526">
        <f t="shared" si="63"/>
        <v>0</v>
      </c>
      <c r="H483" s="525">
        <f>IFERROR(VLOOKUP($B483,'3.Tasks'!$BK$4:$BO$23,2,FALSE),0)</f>
        <v>0</v>
      </c>
      <c r="I483" s="529">
        <f t="shared" si="65"/>
        <v>0</v>
      </c>
      <c r="J483" s="529">
        <f>IFERROR(VLOOKUP($B483,'3.Tasks'!$BK$4:$BO$23,3,FALSE),0)</f>
        <v>0</v>
      </c>
      <c r="K483" s="532">
        <v>0</v>
      </c>
      <c r="L483" s="529">
        <f>IFERROR(VLOOKUP($B483,'3.Tasks'!$BK$4:$BO$23,4,FALSE),0)</f>
        <v>0</v>
      </c>
      <c r="M483" s="532">
        <v>0</v>
      </c>
      <c r="N483" s="529">
        <f>IFERROR(VLOOKUP($B483,'3.Tasks'!$BK$4:$BO$23,5,FALSE),0)</f>
        <v>0</v>
      </c>
      <c r="O483" s="532">
        <v>0</v>
      </c>
      <c r="P483" s="530">
        <f t="shared" si="64"/>
        <v>0</v>
      </c>
    </row>
    <row r="484" spans="1:16">
      <c r="A484" s="529">
        <f t="shared" ref="A484:A501" si="67">+A483</f>
        <v>15</v>
      </c>
      <c r="B484" s="529" t="s">
        <v>820</v>
      </c>
      <c r="C484" s="529" t="s">
        <v>20</v>
      </c>
      <c r="D484" s="529" t="str">
        <f>VLOOKUP(A484,Tabela8[[No.]:[Institution**]],9,FALSE)</f>
        <v>FCiências.ID</v>
      </c>
      <c r="E484" s="531" t="s">
        <v>41</v>
      </c>
      <c r="F484" s="529">
        <f>HLOOKUP(C484,'5.Equipments'!$AJ$2:$BC$22,(A484+1),FALSE)</f>
        <v>0</v>
      </c>
      <c r="G484" s="526">
        <f t="shared" si="63"/>
        <v>0</v>
      </c>
      <c r="H484" s="525">
        <f>IFERROR(VLOOKUP($B484,'3.Tasks'!$BK$4:$BO$23,2,FALSE),0)</f>
        <v>0</v>
      </c>
      <c r="I484" s="529">
        <f t="shared" si="65"/>
        <v>0</v>
      </c>
      <c r="J484" s="529">
        <f>IFERROR(VLOOKUP($B484,'3.Tasks'!$BK$4:$BO$23,3,FALSE),0)</f>
        <v>0</v>
      </c>
      <c r="K484" s="532">
        <v>0</v>
      </c>
      <c r="L484" s="529">
        <f>IFERROR(VLOOKUP($B484,'3.Tasks'!$BK$4:$BO$23,4,FALSE),0)</f>
        <v>0</v>
      </c>
      <c r="M484" s="532">
        <v>0</v>
      </c>
      <c r="N484" s="529">
        <f>IFERROR(VLOOKUP($B484,'3.Tasks'!$BK$4:$BO$23,5,FALSE),0)</f>
        <v>0</v>
      </c>
      <c r="O484" s="532">
        <v>0</v>
      </c>
      <c r="P484" s="530">
        <f t="shared" si="64"/>
        <v>0</v>
      </c>
    </row>
    <row r="485" spans="1:16">
      <c r="A485" s="529">
        <f t="shared" si="67"/>
        <v>15</v>
      </c>
      <c r="B485" s="529" t="s">
        <v>821</v>
      </c>
      <c r="C485" s="529" t="s">
        <v>21</v>
      </c>
      <c r="D485" s="529" t="str">
        <f>VLOOKUP(A485,Tabela8[[No.]:[Institution**]],9,FALSE)</f>
        <v>FCiências.ID</v>
      </c>
      <c r="E485" s="531" t="s">
        <v>41</v>
      </c>
      <c r="F485" s="529">
        <f>HLOOKUP(C485,'5.Equipments'!$AJ$2:$BC$22,(A485+1),FALSE)</f>
        <v>0</v>
      </c>
      <c r="G485" s="526">
        <f t="shared" si="63"/>
        <v>0</v>
      </c>
      <c r="H485" s="525">
        <f>IFERROR(VLOOKUP($B485,'3.Tasks'!$BK$4:$BO$23,2,FALSE),0)</f>
        <v>0</v>
      </c>
      <c r="I485" s="529">
        <f t="shared" si="65"/>
        <v>0</v>
      </c>
      <c r="J485" s="529">
        <f>IFERROR(VLOOKUP($B485,'3.Tasks'!$BK$4:$BO$23,3,FALSE),0)</f>
        <v>0</v>
      </c>
      <c r="K485" s="532">
        <v>0</v>
      </c>
      <c r="L485" s="529">
        <f>IFERROR(VLOOKUP($B485,'3.Tasks'!$BK$4:$BO$23,4,FALSE),0)</f>
        <v>0</v>
      </c>
      <c r="M485" s="532">
        <v>0</v>
      </c>
      <c r="N485" s="529">
        <f>IFERROR(VLOOKUP($B485,'3.Tasks'!$BK$4:$BO$23,5,FALSE),0)</f>
        <v>0</v>
      </c>
      <c r="O485" s="532">
        <v>0</v>
      </c>
      <c r="P485" s="530">
        <f t="shared" si="64"/>
        <v>0</v>
      </c>
    </row>
    <row r="486" spans="1:16">
      <c r="A486" s="529">
        <f t="shared" si="67"/>
        <v>15</v>
      </c>
      <c r="B486" s="529" t="s">
        <v>822</v>
      </c>
      <c r="C486" s="529" t="s">
        <v>22</v>
      </c>
      <c r="D486" s="529" t="str">
        <f>VLOOKUP(A486,Tabela8[[No.]:[Institution**]],9,FALSE)</f>
        <v>FCiências.ID</v>
      </c>
      <c r="E486" s="531" t="s">
        <v>41</v>
      </c>
      <c r="F486" s="529">
        <f>HLOOKUP(C486,'5.Equipments'!$AJ$2:$BC$22,(A486+1),FALSE)</f>
        <v>0</v>
      </c>
      <c r="G486" s="526">
        <f t="shared" si="63"/>
        <v>0</v>
      </c>
      <c r="H486" s="525">
        <f>IFERROR(VLOOKUP($B486,'3.Tasks'!$BK$4:$BO$23,2,FALSE),0)</f>
        <v>0</v>
      </c>
      <c r="I486" s="529">
        <f t="shared" si="65"/>
        <v>0</v>
      </c>
      <c r="J486" s="529">
        <f>IFERROR(VLOOKUP($B486,'3.Tasks'!$BK$4:$BO$23,3,FALSE),0)</f>
        <v>0</v>
      </c>
      <c r="K486" s="532">
        <v>0</v>
      </c>
      <c r="L486" s="529">
        <f>IFERROR(VLOOKUP($B486,'3.Tasks'!$BK$4:$BO$23,4,FALSE),0)</f>
        <v>0</v>
      </c>
      <c r="M486" s="532">
        <v>0</v>
      </c>
      <c r="N486" s="529">
        <f>IFERROR(VLOOKUP($B486,'3.Tasks'!$BK$4:$BO$23,5,FALSE),0)</f>
        <v>0</v>
      </c>
      <c r="O486" s="532">
        <v>0</v>
      </c>
      <c r="P486" s="530">
        <f t="shared" si="64"/>
        <v>0</v>
      </c>
    </row>
    <row r="487" spans="1:16">
      <c r="A487" s="529">
        <f t="shared" si="67"/>
        <v>15</v>
      </c>
      <c r="B487" s="529" t="s">
        <v>823</v>
      </c>
      <c r="C487" s="529" t="s">
        <v>23</v>
      </c>
      <c r="D487" s="529" t="str">
        <f>VLOOKUP(A487,Tabela8[[No.]:[Institution**]],9,FALSE)</f>
        <v>FCiências.ID</v>
      </c>
      <c r="E487" s="531" t="s">
        <v>41</v>
      </c>
      <c r="F487" s="529">
        <f>HLOOKUP(C487,'5.Equipments'!$AJ$2:$BC$22,(A487+1),FALSE)</f>
        <v>0</v>
      </c>
      <c r="G487" s="526">
        <f t="shared" si="63"/>
        <v>0</v>
      </c>
      <c r="H487" s="525">
        <f>IFERROR(VLOOKUP($B487,'3.Tasks'!$BK$4:$BO$23,2,FALSE),0)</f>
        <v>0</v>
      </c>
      <c r="I487" s="529">
        <f t="shared" si="65"/>
        <v>0</v>
      </c>
      <c r="J487" s="529">
        <f>IFERROR(VLOOKUP($B487,'3.Tasks'!$BK$4:$BO$23,3,FALSE),0)</f>
        <v>0</v>
      </c>
      <c r="K487" s="532">
        <v>0</v>
      </c>
      <c r="L487" s="529">
        <f>IFERROR(VLOOKUP($B487,'3.Tasks'!$BK$4:$BO$23,4,FALSE),0)</f>
        <v>0</v>
      </c>
      <c r="M487" s="532">
        <v>0</v>
      </c>
      <c r="N487" s="529">
        <f>IFERROR(VLOOKUP($B487,'3.Tasks'!$BK$4:$BO$23,5,FALSE),0)</f>
        <v>0</v>
      </c>
      <c r="O487" s="532">
        <v>0</v>
      </c>
      <c r="P487" s="530">
        <f t="shared" si="64"/>
        <v>0</v>
      </c>
    </row>
    <row r="488" spans="1:16">
      <c r="A488" s="529">
        <f t="shared" si="67"/>
        <v>15</v>
      </c>
      <c r="B488" s="529" t="s">
        <v>824</v>
      </c>
      <c r="C488" s="529" t="s">
        <v>24</v>
      </c>
      <c r="D488" s="529" t="str">
        <f>VLOOKUP(A488,Tabela8[[No.]:[Institution**]],9,FALSE)</f>
        <v>FCiências.ID</v>
      </c>
      <c r="E488" s="531" t="s">
        <v>41</v>
      </c>
      <c r="F488" s="529">
        <f>HLOOKUP(C488,'5.Equipments'!$AJ$2:$BC$22,(A488+1),FALSE)</f>
        <v>0</v>
      </c>
      <c r="G488" s="526">
        <f t="shared" si="63"/>
        <v>0</v>
      </c>
      <c r="H488" s="525">
        <f>IFERROR(VLOOKUP($B488,'3.Tasks'!$BK$4:$BO$23,2,FALSE),0)</f>
        <v>0</v>
      </c>
      <c r="I488" s="529">
        <f t="shared" si="65"/>
        <v>0</v>
      </c>
      <c r="J488" s="529">
        <f>IFERROR(VLOOKUP($B488,'3.Tasks'!$BK$4:$BO$23,3,FALSE),0)</f>
        <v>0</v>
      </c>
      <c r="K488" s="532">
        <v>0</v>
      </c>
      <c r="L488" s="529">
        <f>IFERROR(VLOOKUP($B488,'3.Tasks'!$BK$4:$BO$23,4,FALSE),0)</f>
        <v>0</v>
      </c>
      <c r="M488" s="532">
        <v>0</v>
      </c>
      <c r="N488" s="529">
        <f>IFERROR(VLOOKUP($B488,'3.Tasks'!$BK$4:$BO$23,5,FALSE),0)</f>
        <v>0</v>
      </c>
      <c r="O488" s="532">
        <v>0</v>
      </c>
      <c r="P488" s="530">
        <f t="shared" si="64"/>
        <v>0</v>
      </c>
    </row>
    <row r="489" spans="1:16">
      <c r="A489" s="529">
        <f t="shared" si="67"/>
        <v>15</v>
      </c>
      <c r="B489" s="529" t="s">
        <v>825</v>
      </c>
      <c r="C489" s="529" t="s">
        <v>25</v>
      </c>
      <c r="D489" s="529" t="str">
        <f>VLOOKUP(A489,Tabela8[[No.]:[Institution**]],9,FALSE)</f>
        <v>FCiências.ID</v>
      </c>
      <c r="E489" s="531" t="s">
        <v>41</v>
      </c>
      <c r="F489" s="529">
        <f>HLOOKUP(C489,'5.Equipments'!$AJ$2:$BC$22,(A489+1),FALSE)</f>
        <v>0</v>
      </c>
      <c r="G489" s="526">
        <f t="shared" si="63"/>
        <v>0</v>
      </c>
      <c r="H489" s="525">
        <f>IFERROR(VLOOKUP($B489,'3.Tasks'!$BK$4:$BO$23,2,FALSE),0)</f>
        <v>0</v>
      </c>
      <c r="I489" s="529">
        <f t="shared" si="65"/>
        <v>0</v>
      </c>
      <c r="J489" s="529">
        <f>IFERROR(VLOOKUP($B489,'3.Tasks'!$BK$4:$BO$23,3,FALSE),0)</f>
        <v>0</v>
      </c>
      <c r="K489" s="532">
        <v>0</v>
      </c>
      <c r="L489" s="529">
        <f>IFERROR(VLOOKUP($B489,'3.Tasks'!$BK$4:$BO$23,4,FALSE),0)</f>
        <v>0</v>
      </c>
      <c r="M489" s="532">
        <v>0</v>
      </c>
      <c r="N489" s="529">
        <f>IFERROR(VLOOKUP($B489,'3.Tasks'!$BK$4:$BO$23,5,FALSE),0)</f>
        <v>0</v>
      </c>
      <c r="O489" s="532">
        <v>0</v>
      </c>
      <c r="P489" s="530">
        <f t="shared" si="64"/>
        <v>0</v>
      </c>
    </row>
    <row r="490" spans="1:16">
      <c r="A490" s="529">
        <f t="shared" si="67"/>
        <v>15</v>
      </c>
      <c r="B490" s="529" t="s">
        <v>826</v>
      </c>
      <c r="C490" s="529" t="s">
        <v>26</v>
      </c>
      <c r="D490" s="529" t="str">
        <f>VLOOKUP(A490,Tabela8[[No.]:[Institution**]],9,FALSE)</f>
        <v>FCiências.ID</v>
      </c>
      <c r="E490" s="531" t="s">
        <v>41</v>
      </c>
      <c r="F490" s="529">
        <f>HLOOKUP(C490,'5.Equipments'!$AJ$2:$BC$22,(A490+1),FALSE)</f>
        <v>0</v>
      </c>
      <c r="G490" s="526">
        <f t="shared" si="63"/>
        <v>0</v>
      </c>
      <c r="H490" s="525">
        <f>IFERROR(VLOOKUP($B490,'3.Tasks'!$BK$4:$BO$23,2,FALSE),0)</f>
        <v>0</v>
      </c>
      <c r="I490" s="529">
        <f t="shared" si="65"/>
        <v>0</v>
      </c>
      <c r="J490" s="529">
        <f>IFERROR(VLOOKUP($B490,'3.Tasks'!$BK$4:$BO$23,3,FALSE),0)</f>
        <v>0</v>
      </c>
      <c r="K490" s="532">
        <v>0</v>
      </c>
      <c r="L490" s="529">
        <f>IFERROR(VLOOKUP($B490,'3.Tasks'!$BK$4:$BO$23,4,FALSE),0)</f>
        <v>0</v>
      </c>
      <c r="M490" s="532">
        <v>0</v>
      </c>
      <c r="N490" s="529">
        <f>IFERROR(VLOOKUP($B490,'3.Tasks'!$BK$4:$BO$23,5,FALSE),0)</f>
        <v>0</v>
      </c>
      <c r="O490" s="532">
        <v>0</v>
      </c>
      <c r="P490" s="530">
        <f t="shared" si="64"/>
        <v>0</v>
      </c>
    </row>
    <row r="491" spans="1:16">
      <c r="A491" s="529">
        <f t="shared" si="67"/>
        <v>15</v>
      </c>
      <c r="B491" s="529" t="s">
        <v>827</v>
      </c>
      <c r="C491" s="529" t="s">
        <v>27</v>
      </c>
      <c r="D491" s="529" t="str">
        <f>VLOOKUP(A491,Tabela8[[No.]:[Institution**]],9,FALSE)</f>
        <v>FCiências.ID</v>
      </c>
      <c r="E491" s="531" t="s">
        <v>41</v>
      </c>
      <c r="F491" s="529">
        <f>HLOOKUP(C491,'5.Equipments'!$AJ$2:$BC$22,(A491+1),FALSE)</f>
        <v>0</v>
      </c>
      <c r="G491" s="526">
        <f t="shared" si="63"/>
        <v>0</v>
      </c>
      <c r="H491" s="525">
        <f>IFERROR(VLOOKUP($B491,'3.Tasks'!$BK$4:$BO$23,2,FALSE),0)</f>
        <v>0</v>
      </c>
      <c r="I491" s="529">
        <f t="shared" si="65"/>
        <v>0</v>
      </c>
      <c r="J491" s="529">
        <f>IFERROR(VLOOKUP($B491,'3.Tasks'!$BK$4:$BO$23,3,FALSE),0)</f>
        <v>0</v>
      </c>
      <c r="K491" s="532">
        <v>0</v>
      </c>
      <c r="L491" s="529">
        <f>IFERROR(VLOOKUP($B491,'3.Tasks'!$BK$4:$BO$23,4,FALSE),0)</f>
        <v>0</v>
      </c>
      <c r="M491" s="532">
        <v>0</v>
      </c>
      <c r="N491" s="529">
        <f>IFERROR(VLOOKUP($B491,'3.Tasks'!$BK$4:$BO$23,5,FALSE),0)</f>
        <v>0</v>
      </c>
      <c r="O491" s="532">
        <v>0</v>
      </c>
      <c r="P491" s="530">
        <f t="shared" si="64"/>
        <v>0</v>
      </c>
    </row>
    <row r="492" spans="1:16">
      <c r="A492" s="529">
        <f t="shared" si="67"/>
        <v>15</v>
      </c>
      <c r="B492" s="529" t="s">
        <v>828</v>
      </c>
      <c r="C492" s="529" t="s">
        <v>28</v>
      </c>
      <c r="D492" s="529" t="str">
        <f>VLOOKUP(A492,Tabela8[[No.]:[Institution**]],9,FALSE)</f>
        <v>FCiências.ID</v>
      </c>
      <c r="E492" s="531" t="s">
        <v>41</v>
      </c>
      <c r="F492" s="529">
        <f>HLOOKUP(C492,'5.Equipments'!$AJ$2:$BC$22,(A492+1),FALSE)</f>
        <v>0</v>
      </c>
      <c r="G492" s="526">
        <f t="shared" si="63"/>
        <v>0</v>
      </c>
      <c r="H492" s="525">
        <f>IFERROR(VLOOKUP($B492,'3.Tasks'!$BK$4:$BO$23,2,FALSE),0)</f>
        <v>0</v>
      </c>
      <c r="I492" s="529">
        <f t="shared" si="65"/>
        <v>0</v>
      </c>
      <c r="J492" s="529">
        <f>IFERROR(VLOOKUP($B492,'3.Tasks'!$BK$4:$BO$23,3,FALSE),0)</f>
        <v>0</v>
      </c>
      <c r="K492" s="532">
        <v>0</v>
      </c>
      <c r="L492" s="529">
        <f>IFERROR(VLOOKUP($B492,'3.Tasks'!$BK$4:$BO$23,4,FALSE),0)</f>
        <v>0</v>
      </c>
      <c r="M492" s="532">
        <v>0</v>
      </c>
      <c r="N492" s="529">
        <f>IFERROR(VLOOKUP($B492,'3.Tasks'!$BK$4:$BO$23,5,FALSE),0)</f>
        <v>0</v>
      </c>
      <c r="O492" s="532">
        <v>0</v>
      </c>
      <c r="P492" s="530">
        <f t="shared" si="64"/>
        <v>0</v>
      </c>
    </row>
    <row r="493" spans="1:16">
      <c r="A493" s="529">
        <f t="shared" si="67"/>
        <v>15</v>
      </c>
      <c r="B493" s="529" t="s">
        <v>829</v>
      </c>
      <c r="C493" s="529" t="s">
        <v>29</v>
      </c>
      <c r="D493" s="529" t="str">
        <f>VLOOKUP(A493,Tabela8[[No.]:[Institution**]],9,FALSE)</f>
        <v>FCiências.ID</v>
      </c>
      <c r="E493" s="531" t="s">
        <v>41</v>
      </c>
      <c r="F493" s="529">
        <f>HLOOKUP(C493,'5.Equipments'!$AJ$2:$BC$22,(A493+1),FALSE)</f>
        <v>0</v>
      </c>
      <c r="G493" s="526">
        <f t="shared" si="63"/>
        <v>0</v>
      </c>
      <c r="H493" s="525">
        <f>IFERROR(VLOOKUP($B493,'3.Tasks'!$BK$4:$BO$23,2,FALSE),0)</f>
        <v>0</v>
      </c>
      <c r="I493" s="529">
        <f t="shared" si="65"/>
        <v>0</v>
      </c>
      <c r="J493" s="529">
        <f>IFERROR(VLOOKUP($B493,'3.Tasks'!$BK$4:$BO$23,3,FALSE),0)</f>
        <v>0</v>
      </c>
      <c r="K493" s="532">
        <v>0</v>
      </c>
      <c r="L493" s="529">
        <f>IFERROR(VLOOKUP($B493,'3.Tasks'!$BK$4:$BO$23,4,FALSE),0)</f>
        <v>0</v>
      </c>
      <c r="M493" s="532">
        <v>0</v>
      </c>
      <c r="N493" s="529">
        <f>IFERROR(VLOOKUP($B493,'3.Tasks'!$BK$4:$BO$23,5,FALSE),0)</f>
        <v>0</v>
      </c>
      <c r="O493" s="532">
        <v>0</v>
      </c>
      <c r="P493" s="530">
        <f t="shared" si="64"/>
        <v>0</v>
      </c>
    </row>
    <row r="494" spans="1:16">
      <c r="A494" s="529">
        <f t="shared" si="67"/>
        <v>15</v>
      </c>
      <c r="B494" s="529" t="s">
        <v>830</v>
      </c>
      <c r="C494" s="529" t="s">
        <v>30</v>
      </c>
      <c r="D494" s="529" t="str">
        <f>VLOOKUP(A494,Tabela8[[No.]:[Institution**]],9,FALSE)</f>
        <v>FCiências.ID</v>
      </c>
      <c r="E494" s="531" t="s">
        <v>41</v>
      </c>
      <c r="F494" s="529">
        <f>HLOOKUP(C494,'5.Equipments'!$AJ$2:$BC$22,(A494+1),FALSE)</f>
        <v>0</v>
      </c>
      <c r="G494" s="526">
        <f t="shared" si="63"/>
        <v>0</v>
      </c>
      <c r="H494" s="525">
        <f>IFERROR(VLOOKUP($B494,'3.Tasks'!$BK$4:$BO$23,2,FALSE),0)</f>
        <v>0</v>
      </c>
      <c r="I494" s="529">
        <f t="shared" si="65"/>
        <v>0</v>
      </c>
      <c r="J494" s="529">
        <f>IFERROR(VLOOKUP($B494,'3.Tasks'!$BK$4:$BO$23,3,FALSE),0)</f>
        <v>0</v>
      </c>
      <c r="K494" s="532">
        <v>0</v>
      </c>
      <c r="L494" s="529">
        <f>IFERROR(VLOOKUP($B494,'3.Tasks'!$BK$4:$BO$23,4,FALSE),0)</f>
        <v>0</v>
      </c>
      <c r="M494" s="532">
        <v>0</v>
      </c>
      <c r="N494" s="529">
        <f>IFERROR(VLOOKUP($B494,'3.Tasks'!$BK$4:$BO$23,5,FALSE),0)</f>
        <v>0</v>
      </c>
      <c r="O494" s="532">
        <v>0</v>
      </c>
      <c r="P494" s="530">
        <f t="shared" si="64"/>
        <v>0</v>
      </c>
    </row>
    <row r="495" spans="1:16">
      <c r="A495" s="529">
        <f t="shared" si="67"/>
        <v>15</v>
      </c>
      <c r="B495" s="529" t="s">
        <v>831</v>
      </c>
      <c r="C495" s="529" t="s">
        <v>31</v>
      </c>
      <c r="D495" s="529" t="str">
        <f>VLOOKUP(A495,Tabela8[[No.]:[Institution**]],9,FALSE)</f>
        <v>FCiências.ID</v>
      </c>
      <c r="E495" s="531" t="s">
        <v>41</v>
      </c>
      <c r="F495" s="529">
        <f>HLOOKUP(C495,'5.Equipments'!$AJ$2:$BC$22,(A495+1),FALSE)</f>
        <v>0</v>
      </c>
      <c r="G495" s="526">
        <f t="shared" si="63"/>
        <v>0</v>
      </c>
      <c r="H495" s="525">
        <f>IFERROR(VLOOKUP($B495,'3.Tasks'!$BK$4:$BO$23,2,FALSE),0)</f>
        <v>0</v>
      </c>
      <c r="I495" s="529">
        <f t="shared" si="65"/>
        <v>0</v>
      </c>
      <c r="J495" s="529">
        <f>IFERROR(VLOOKUP($B495,'3.Tasks'!$BK$4:$BO$23,3,FALSE),0)</f>
        <v>0</v>
      </c>
      <c r="K495" s="532">
        <v>0</v>
      </c>
      <c r="L495" s="529">
        <f>IFERROR(VLOOKUP($B495,'3.Tasks'!$BK$4:$BO$23,4,FALSE),0)</f>
        <v>0</v>
      </c>
      <c r="M495" s="532">
        <v>0</v>
      </c>
      <c r="N495" s="529">
        <f>IFERROR(VLOOKUP($B495,'3.Tasks'!$BK$4:$BO$23,5,FALSE),0)</f>
        <v>0</v>
      </c>
      <c r="O495" s="532">
        <v>0</v>
      </c>
      <c r="P495" s="530">
        <f t="shared" si="64"/>
        <v>0</v>
      </c>
    </row>
    <row r="496" spans="1:16">
      <c r="A496" s="529">
        <f t="shared" si="67"/>
        <v>15</v>
      </c>
      <c r="B496" s="529" t="s">
        <v>832</v>
      </c>
      <c r="C496" s="529" t="s">
        <v>32</v>
      </c>
      <c r="D496" s="529" t="str">
        <f>VLOOKUP(A496,Tabela8[[No.]:[Institution**]],9,FALSE)</f>
        <v>FCiências.ID</v>
      </c>
      <c r="E496" s="531" t="s">
        <v>41</v>
      </c>
      <c r="F496" s="529">
        <f>HLOOKUP(C496,'5.Equipments'!$AJ$2:$BC$22,(A496+1),FALSE)</f>
        <v>0</v>
      </c>
      <c r="G496" s="526">
        <f t="shared" si="63"/>
        <v>0</v>
      </c>
      <c r="H496" s="525">
        <f>IFERROR(VLOOKUP($B496,'3.Tasks'!$BK$4:$BO$23,2,FALSE),0)</f>
        <v>0</v>
      </c>
      <c r="I496" s="529">
        <f t="shared" si="65"/>
        <v>0</v>
      </c>
      <c r="J496" s="529">
        <f>IFERROR(VLOOKUP($B496,'3.Tasks'!$BK$4:$BO$23,3,FALSE),0)</f>
        <v>0</v>
      </c>
      <c r="K496" s="532">
        <v>0</v>
      </c>
      <c r="L496" s="529">
        <f>IFERROR(VLOOKUP($B496,'3.Tasks'!$BK$4:$BO$23,4,FALSE),0)</f>
        <v>0</v>
      </c>
      <c r="M496" s="532">
        <v>0</v>
      </c>
      <c r="N496" s="529">
        <f>IFERROR(VLOOKUP($B496,'3.Tasks'!$BK$4:$BO$23,5,FALSE),0)</f>
        <v>0</v>
      </c>
      <c r="O496" s="532">
        <v>0</v>
      </c>
      <c r="P496" s="530">
        <f t="shared" si="64"/>
        <v>0</v>
      </c>
    </row>
    <row r="497" spans="1:16">
      <c r="A497" s="529">
        <f t="shared" si="67"/>
        <v>15</v>
      </c>
      <c r="B497" s="529" t="s">
        <v>833</v>
      </c>
      <c r="C497" s="529" t="s">
        <v>33</v>
      </c>
      <c r="D497" s="529" t="str">
        <f>VLOOKUP(A497,Tabela8[[No.]:[Institution**]],9,FALSE)</f>
        <v>FCiências.ID</v>
      </c>
      <c r="E497" s="531" t="s">
        <v>41</v>
      </c>
      <c r="F497" s="529">
        <f>HLOOKUP(C497,'5.Equipments'!$AJ$2:$BC$22,(A497+1),FALSE)</f>
        <v>0</v>
      </c>
      <c r="G497" s="526">
        <f t="shared" si="63"/>
        <v>0</v>
      </c>
      <c r="H497" s="525">
        <f>IFERROR(VLOOKUP($B497,'3.Tasks'!$BK$4:$BO$23,2,FALSE),0)</f>
        <v>0</v>
      </c>
      <c r="I497" s="529">
        <f t="shared" si="65"/>
        <v>0</v>
      </c>
      <c r="J497" s="529">
        <f>IFERROR(VLOOKUP($B497,'3.Tasks'!$BK$4:$BO$23,3,FALSE),0)</f>
        <v>0</v>
      </c>
      <c r="K497" s="532">
        <v>0</v>
      </c>
      <c r="L497" s="529">
        <f>IFERROR(VLOOKUP($B497,'3.Tasks'!$BK$4:$BO$23,4,FALSE),0)</f>
        <v>0</v>
      </c>
      <c r="M497" s="532">
        <v>0</v>
      </c>
      <c r="N497" s="529">
        <f>IFERROR(VLOOKUP($B497,'3.Tasks'!$BK$4:$BO$23,5,FALSE),0)</f>
        <v>0</v>
      </c>
      <c r="O497" s="532">
        <v>0</v>
      </c>
      <c r="P497" s="530">
        <f t="shared" si="64"/>
        <v>0</v>
      </c>
    </row>
    <row r="498" spans="1:16">
      <c r="A498" s="529">
        <f t="shared" si="67"/>
        <v>15</v>
      </c>
      <c r="B498" s="529" t="s">
        <v>834</v>
      </c>
      <c r="C498" s="529" t="s">
        <v>34</v>
      </c>
      <c r="D498" s="529" t="str">
        <f>VLOOKUP(A498,Tabela8[[No.]:[Institution**]],9,FALSE)</f>
        <v>FCiências.ID</v>
      </c>
      <c r="E498" s="531" t="s">
        <v>41</v>
      </c>
      <c r="F498" s="529">
        <f>HLOOKUP(C498,'5.Equipments'!$AJ$2:$BC$22,(A498+1),FALSE)</f>
        <v>0</v>
      </c>
      <c r="G498" s="526">
        <f t="shared" si="63"/>
        <v>0</v>
      </c>
      <c r="H498" s="525">
        <f>IFERROR(VLOOKUP($B498,'3.Tasks'!$BK$4:$BO$23,2,FALSE),0)</f>
        <v>0</v>
      </c>
      <c r="I498" s="529">
        <f t="shared" si="65"/>
        <v>0</v>
      </c>
      <c r="J498" s="529">
        <f>IFERROR(VLOOKUP($B498,'3.Tasks'!$BK$4:$BO$23,3,FALSE),0)</f>
        <v>0</v>
      </c>
      <c r="K498" s="532">
        <v>0</v>
      </c>
      <c r="L498" s="529">
        <f>IFERROR(VLOOKUP($B498,'3.Tasks'!$BK$4:$BO$23,4,FALSE),0)</f>
        <v>0</v>
      </c>
      <c r="M498" s="532">
        <v>0</v>
      </c>
      <c r="N498" s="529">
        <f>IFERROR(VLOOKUP($B498,'3.Tasks'!$BK$4:$BO$23,5,FALSE),0)</f>
        <v>0</v>
      </c>
      <c r="O498" s="532">
        <v>0</v>
      </c>
      <c r="P498" s="530">
        <f t="shared" si="64"/>
        <v>0</v>
      </c>
    </row>
    <row r="499" spans="1:16">
      <c r="A499" s="529">
        <f t="shared" si="67"/>
        <v>15</v>
      </c>
      <c r="B499" s="529" t="s">
        <v>835</v>
      </c>
      <c r="C499" s="529" t="s">
        <v>35</v>
      </c>
      <c r="D499" s="529" t="str">
        <f>VLOOKUP(A499,Tabela8[[No.]:[Institution**]],9,FALSE)</f>
        <v>FCiências.ID</v>
      </c>
      <c r="E499" s="531" t="s">
        <v>41</v>
      </c>
      <c r="F499" s="529">
        <f>HLOOKUP(C499,'5.Equipments'!$AJ$2:$BC$22,(A499+1),FALSE)</f>
        <v>0</v>
      </c>
      <c r="G499" s="526">
        <f t="shared" si="63"/>
        <v>0</v>
      </c>
      <c r="H499" s="525">
        <f>IFERROR(VLOOKUP($B499,'3.Tasks'!$BK$4:$BO$23,2,FALSE),0)</f>
        <v>0</v>
      </c>
      <c r="I499" s="529">
        <f t="shared" si="65"/>
        <v>0</v>
      </c>
      <c r="J499" s="529">
        <f>IFERROR(VLOOKUP($B499,'3.Tasks'!$BK$4:$BO$23,3,FALSE),0)</f>
        <v>0</v>
      </c>
      <c r="K499" s="532">
        <v>0</v>
      </c>
      <c r="L499" s="529">
        <f>IFERROR(VLOOKUP($B499,'3.Tasks'!$BK$4:$BO$23,4,FALSE),0)</f>
        <v>0</v>
      </c>
      <c r="M499" s="532">
        <v>0</v>
      </c>
      <c r="N499" s="529">
        <f>IFERROR(VLOOKUP($B499,'3.Tasks'!$BK$4:$BO$23,5,FALSE),0)</f>
        <v>0</v>
      </c>
      <c r="O499" s="532">
        <v>0</v>
      </c>
      <c r="P499" s="530">
        <f t="shared" si="64"/>
        <v>0</v>
      </c>
    </row>
    <row r="500" spans="1:16">
      <c r="A500" s="529">
        <f t="shared" si="67"/>
        <v>15</v>
      </c>
      <c r="B500" s="529" t="s">
        <v>836</v>
      </c>
      <c r="C500" s="529" t="s">
        <v>36</v>
      </c>
      <c r="D500" s="529" t="str">
        <f>VLOOKUP(A500,Tabela8[[No.]:[Institution**]],9,FALSE)</f>
        <v>FCiências.ID</v>
      </c>
      <c r="E500" s="531" t="s">
        <v>41</v>
      </c>
      <c r="F500" s="529">
        <f>HLOOKUP(C500,'5.Equipments'!$AJ$2:$BC$22,(A500+1),FALSE)</f>
        <v>0</v>
      </c>
      <c r="G500" s="526">
        <f t="shared" si="63"/>
        <v>0</v>
      </c>
      <c r="H500" s="525">
        <f>IFERROR(VLOOKUP($B500,'3.Tasks'!$BK$4:$BO$23,2,FALSE),0)</f>
        <v>0</v>
      </c>
      <c r="I500" s="529">
        <f t="shared" si="65"/>
        <v>0</v>
      </c>
      <c r="J500" s="529">
        <f>IFERROR(VLOOKUP($B500,'3.Tasks'!$BK$4:$BO$23,3,FALSE),0)</f>
        <v>0</v>
      </c>
      <c r="K500" s="532">
        <v>0</v>
      </c>
      <c r="L500" s="529">
        <f>IFERROR(VLOOKUP($B500,'3.Tasks'!$BK$4:$BO$23,4,FALSE),0)</f>
        <v>0</v>
      </c>
      <c r="M500" s="532">
        <v>0</v>
      </c>
      <c r="N500" s="529">
        <f>IFERROR(VLOOKUP($B500,'3.Tasks'!$BK$4:$BO$23,5,FALSE),0)</f>
        <v>0</v>
      </c>
      <c r="O500" s="532">
        <v>0</v>
      </c>
      <c r="P500" s="530">
        <f t="shared" si="64"/>
        <v>0</v>
      </c>
    </row>
    <row r="501" spans="1:16">
      <c r="A501" s="529">
        <f t="shared" si="67"/>
        <v>15</v>
      </c>
      <c r="B501" s="529" t="s">
        <v>837</v>
      </c>
      <c r="C501" s="529" t="s">
        <v>37</v>
      </c>
      <c r="D501" s="529" t="str">
        <f>VLOOKUP(A501,Tabela8[[No.]:[Institution**]],9,FALSE)</f>
        <v>FCiências.ID</v>
      </c>
      <c r="E501" s="531" t="s">
        <v>41</v>
      </c>
      <c r="F501" s="529">
        <f>HLOOKUP(C501,'5.Equipments'!$AJ$2:$BC$22,(A501+1),FALSE)</f>
        <v>0</v>
      </c>
      <c r="G501" s="526">
        <f t="shared" si="63"/>
        <v>0</v>
      </c>
      <c r="H501" s="525">
        <f>IFERROR(VLOOKUP($B501,'3.Tasks'!$BK$4:$BO$23,2,FALSE),0)</f>
        <v>0</v>
      </c>
      <c r="I501" s="529">
        <f t="shared" si="65"/>
        <v>0</v>
      </c>
      <c r="J501" s="529">
        <f>IFERROR(VLOOKUP($B501,'3.Tasks'!$BK$4:$BO$23,3,FALSE),0)</f>
        <v>0</v>
      </c>
      <c r="K501" s="532">
        <v>0</v>
      </c>
      <c r="L501" s="529">
        <f>IFERROR(VLOOKUP($B501,'3.Tasks'!$BK$4:$BO$23,4,FALSE),0)</f>
        <v>0</v>
      </c>
      <c r="M501" s="532">
        <v>0</v>
      </c>
      <c r="N501" s="529">
        <f>IFERROR(VLOOKUP($B501,'3.Tasks'!$BK$4:$BO$23,5,FALSE),0)</f>
        <v>0</v>
      </c>
      <c r="O501" s="532">
        <v>0</v>
      </c>
      <c r="P501" s="530">
        <f t="shared" si="64"/>
        <v>0</v>
      </c>
    </row>
    <row r="502" spans="1:16">
      <c r="A502" s="529">
        <v>16</v>
      </c>
      <c r="B502" s="529" t="s">
        <v>818</v>
      </c>
      <c r="C502" s="529" t="s">
        <v>18</v>
      </c>
      <c r="D502" s="529" t="str">
        <f>VLOOKUP(A502,Tabela8[[No.]:[Institution**]],9,FALSE)</f>
        <v>FCiências.ID</v>
      </c>
      <c r="E502" s="531" t="s">
        <v>41</v>
      </c>
      <c r="F502" s="529">
        <f>HLOOKUP(C502,'5.Equipments'!$AJ$2:$BC$22,(A502+1),FALSE)</f>
        <v>0</v>
      </c>
      <c r="G502" s="526">
        <f t="shared" si="63"/>
        <v>0</v>
      </c>
      <c r="H502" s="525">
        <f>IFERROR(VLOOKUP($B502,'3.Tasks'!$BK$4:$BO$23,2,FALSE),0)</f>
        <v>0</v>
      </c>
      <c r="I502" s="529">
        <f t="shared" si="65"/>
        <v>0</v>
      </c>
      <c r="J502" s="529">
        <f>IFERROR(VLOOKUP($B502,'3.Tasks'!$BK$4:$BO$23,3,FALSE),0)</f>
        <v>0</v>
      </c>
      <c r="K502" s="532">
        <v>0</v>
      </c>
      <c r="L502" s="529">
        <f>IFERROR(VLOOKUP($B502,'3.Tasks'!$BK$4:$BO$23,4,FALSE),0)</f>
        <v>0</v>
      </c>
      <c r="M502" s="532">
        <v>0</v>
      </c>
      <c r="N502" s="529">
        <f>IFERROR(VLOOKUP($B502,'3.Tasks'!$BK$4:$BO$23,5,FALSE),0)</f>
        <v>0</v>
      </c>
      <c r="O502" s="532">
        <v>0</v>
      </c>
      <c r="P502" s="530">
        <f t="shared" si="64"/>
        <v>0</v>
      </c>
    </row>
    <row r="503" spans="1:16">
      <c r="A503" s="529">
        <f>+A502</f>
        <v>16</v>
      </c>
      <c r="B503" s="529" t="s">
        <v>819</v>
      </c>
      <c r="C503" s="529" t="s">
        <v>19</v>
      </c>
      <c r="D503" s="529" t="str">
        <f>VLOOKUP(A503,Tabela8[[No.]:[Institution**]],9,FALSE)</f>
        <v>FCiências.ID</v>
      </c>
      <c r="E503" s="531" t="s">
        <v>41</v>
      </c>
      <c r="F503" s="529">
        <f>HLOOKUP(C503,'5.Equipments'!$AJ$2:$BC$22,(A503+1),FALSE)</f>
        <v>0</v>
      </c>
      <c r="G503" s="526">
        <f t="shared" si="63"/>
        <v>0</v>
      </c>
      <c r="H503" s="525">
        <f>IFERROR(VLOOKUP($B503,'3.Tasks'!$BK$4:$BO$23,2,FALSE),0)</f>
        <v>0</v>
      </c>
      <c r="I503" s="529">
        <f t="shared" si="65"/>
        <v>0</v>
      </c>
      <c r="J503" s="529">
        <f>IFERROR(VLOOKUP($B503,'3.Tasks'!$BK$4:$BO$23,3,FALSE),0)</f>
        <v>0</v>
      </c>
      <c r="K503" s="532">
        <v>0</v>
      </c>
      <c r="L503" s="529">
        <f>IFERROR(VLOOKUP($B503,'3.Tasks'!$BK$4:$BO$23,4,FALSE),0)</f>
        <v>0</v>
      </c>
      <c r="M503" s="532">
        <v>0</v>
      </c>
      <c r="N503" s="529">
        <f>IFERROR(VLOOKUP($B503,'3.Tasks'!$BK$4:$BO$23,5,FALSE),0)</f>
        <v>0</v>
      </c>
      <c r="O503" s="532">
        <v>0</v>
      </c>
      <c r="P503" s="530">
        <f t="shared" si="64"/>
        <v>0</v>
      </c>
    </row>
    <row r="504" spans="1:16">
      <c r="A504" s="529">
        <f t="shared" ref="A504:A521" si="68">+A503</f>
        <v>16</v>
      </c>
      <c r="B504" s="529" t="s">
        <v>820</v>
      </c>
      <c r="C504" s="529" t="s">
        <v>20</v>
      </c>
      <c r="D504" s="529" t="str">
        <f>VLOOKUP(A504,Tabela8[[No.]:[Institution**]],9,FALSE)</f>
        <v>FCiências.ID</v>
      </c>
      <c r="E504" s="531" t="s">
        <v>41</v>
      </c>
      <c r="F504" s="529">
        <f>HLOOKUP(C504,'5.Equipments'!$AJ$2:$BC$22,(A504+1),FALSE)</f>
        <v>0</v>
      </c>
      <c r="G504" s="526">
        <f t="shared" si="63"/>
        <v>0</v>
      </c>
      <c r="H504" s="525">
        <f>IFERROR(VLOOKUP($B504,'3.Tasks'!$BK$4:$BO$23,2,FALSE),0)</f>
        <v>0</v>
      </c>
      <c r="I504" s="529">
        <f t="shared" si="65"/>
        <v>0</v>
      </c>
      <c r="J504" s="529">
        <f>IFERROR(VLOOKUP($B504,'3.Tasks'!$BK$4:$BO$23,3,FALSE),0)</f>
        <v>0</v>
      </c>
      <c r="K504" s="532">
        <v>0</v>
      </c>
      <c r="L504" s="529">
        <f>IFERROR(VLOOKUP($B504,'3.Tasks'!$BK$4:$BO$23,4,FALSE),0)</f>
        <v>0</v>
      </c>
      <c r="M504" s="532">
        <v>0</v>
      </c>
      <c r="N504" s="529">
        <f>IFERROR(VLOOKUP($B504,'3.Tasks'!$BK$4:$BO$23,5,FALSE),0)</f>
        <v>0</v>
      </c>
      <c r="O504" s="532">
        <v>0</v>
      </c>
      <c r="P504" s="530">
        <f t="shared" si="64"/>
        <v>0</v>
      </c>
    </row>
    <row r="505" spans="1:16">
      <c r="A505" s="529">
        <f t="shared" si="68"/>
        <v>16</v>
      </c>
      <c r="B505" s="529" t="s">
        <v>821</v>
      </c>
      <c r="C505" s="529" t="s">
        <v>21</v>
      </c>
      <c r="D505" s="529" t="str">
        <f>VLOOKUP(A505,Tabela8[[No.]:[Institution**]],9,FALSE)</f>
        <v>FCiências.ID</v>
      </c>
      <c r="E505" s="531" t="s">
        <v>41</v>
      </c>
      <c r="F505" s="529">
        <f>HLOOKUP(C505,'5.Equipments'!$AJ$2:$BC$22,(A505+1),FALSE)</f>
        <v>0</v>
      </c>
      <c r="G505" s="526">
        <f t="shared" si="63"/>
        <v>0</v>
      </c>
      <c r="H505" s="525">
        <f>IFERROR(VLOOKUP($B505,'3.Tasks'!$BK$4:$BO$23,2,FALSE),0)</f>
        <v>0</v>
      </c>
      <c r="I505" s="529">
        <f t="shared" si="65"/>
        <v>0</v>
      </c>
      <c r="J505" s="529">
        <f>IFERROR(VLOOKUP($B505,'3.Tasks'!$BK$4:$BO$23,3,FALSE),0)</f>
        <v>0</v>
      </c>
      <c r="K505" s="532">
        <v>0</v>
      </c>
      <c r="L505" s="529">
        <f>IFERROR(VLOOKUP($B505,'3.Tasks'!$BK$4:$BO$23,4,FALSE),0)</f>
        <v>0</v>
      </c>
      <c r="M505" s="532">
        <v>0</v>
      </c>
      <c r="N505" s="529">
        <f>IFERROR(VLOOKUP($B505,'3.Tasks'!$BK$4:$BO$23,5,FALSE),0)</f>
        <v>0</v>
      </c>
      <c r="O505" s="532">
        <v>0</v>
      </c>
      <c r="P505" s="530">
        <f t="shared" si="64"/>
        <v>0</v>
      </c>
    </row>
    <row r="506" spans="1:16">
      <c r="A506" s="529">
        <f t="shared" si="68"/>
        <v>16</v>
      </c>
      <c r="B506" s="529" t="s">
        <v>822</v>
      </c>
      <c r="C506" s="529" t="s">
        <v>22</v>
      </c>
      <c r="D506" s="529" t="str">
        <f>VLOOKUP(A506,Tabela8[[No.]:[Institution**]],9,FALSE)</f>
        <v>FCiências.ID</v>
      </c>
      <c r="E506" s="531" t="s">
        <v>41</v>
      </c>
      <c r="F506" s="529">
        <f>HLOOKUP(C506,'5.Equipments'!$AJ$2:$BC$22,(A506+1),FALSE)</f>
        <v>0</v>
      </c>
      <c r="G506" s="526">
        <f t="shared" si="63"/>
        <v>0</v>
      </c>
      <c r="H506" s="525">
        <f>IFERROR(VLOOKUP($B506,'3.Tasks'!$BK$4:$BO$23,2,FALSE),0)</f>
        <v>0</v>
      </c>
      <c r="I506" s="529">
        <f t="shared" si="65"/>
        <v>0</v>
      </c>
      <c r="J506" s="529">
        <f>IFERROR(VLOOKUP($B506,'3.Tasks'!$BK$4:$BO$23,3,FALSE),0)</f>
        <v>0</v>
      </c>
      <c r="K506" s="532">
        <v>0</v>
      </c>
      <c r="L506" s="529">
        <f>IFERROR(VLOOKUP($B506,'3.Tasks'!$BK$4:$BO$23,4,FALSE),0)</f>
        <v>0</v>
      </c>
      <c r="M506" s="532">
        <v>0</v>
      </c>
      <c r="N506" s="529">
        <f>IFERROR(VLOOKUP($B506,'3.Tasks'!$BK$4:$BO$23,5,FALSE),0)</f>
        <v>0</v>
      </c>
      <c r="O506" s="532">
        <v>0</v>
      </c>
      <c r="P506" s="530">
        <f t="shared" si="64"/>
        <v>0</v>
      </c>
    </row>
    <row r="507" spans="1:16">
      <c r="A507" s="529">
        <f t="shared" si="68"/>
        <v>16</v>
      </c>
      <c r="B507" s="529" t="s">
        <v>823</v>
      </c>
      <c r="C507" s="529" t="s">
        <v>23</v>
      </c>
      <c r="D507" s="529" t="str">
        <f>VLOOKUP(A507,Tabela8[[No.]:[Institution**]],9,FALSE)</f>
        <v>FCiências.ID</v>
      </c>
      <c r="E507" s="531" t="s">
        <v>41</v>
      </c>
      <c r="F507" s="529">
        <f>HLOOKUP(C507,'5.Equipments'!$AJ$2:$BC$22,(A507+1),FALSE)</f>
        <v>0</v>
      </c>
      <c r="G507" s="526">
        <f t="shared" si="63"/>
        <v>0</v>
      </c>
      <c r="H507" s="525">
        <f>IFERROR(VLOOKUP($B507,'3.Tasks'!$BK$4:$BO$23,2,FALSE),0)</f>
        <v>0</v>
      </c>
      <c r="I507" s="529">
        <f t="shared" si="65"/>
        <v>0</v>
      </c>
      <c r="J507" s="529">
        <f>IFERROR(VLOOKUP($B507,'3.Tasks'!$BK$4:$BO$23,3,FALSE),0)</f>
        <v>0</v>
      </c>
      <c r="K507" s="532">
        <v>0</v>
      </c>
      <c r="L507" s="529">
        <f>IFERROR(VLOOKUP($B507,'3.Tasks'!$BK$4:$BO$23,4,FALSE),0)</f>
        <v>0</v>
      </c>
      <c r="M507" s="532">
        <v>0</v>
      </c>
      <c r="N507" s="529">
        <f>IFERROR(VLOOKUP($B507,'3.Tasks'!$BK$4:$BO$23,5,FALSE),0)</f>
        <v>0</v>
      </c>
      <c r="O507" s="532">
        <v>0</v>
      </c>
      <c r="P507" s="530">
        <f t="shared" si="64"/>
        <v>0</v>
      </c>
    </row>
    <row r="508" spans="1:16">
      <c r="A508" s="529">
        <f t="shared" si="68"/>
        <v>16</v>
      </c>
      <c r="B508" s="529" t="s">
        <v>824</v>
      </c>
      <c r="C508" s="529" t="s">
        <v>24</v>
      </c>
      <c r="D508" s="529" t="str">
        <f>VLOOKUP(A508,Tabela8[[No.]:[Institution**]],9,FALSE)</f>
        <v>FCiências.ID</v>
      </c>
      <c r="E508" s="531" t="s">
        <v>41</v>
      </c>
      <c r="F508" s="529">
        <f>HLOOKUP(C508,'5.Equipments'!$AJ$2:$BC$22,(A508+1),FALSE)</f>
        <v>0</v>
      </c>
      <c r="G508" s="526">
        <f t="shared" si="63"/>
        <v>0</v>
      </c>
      <c r="H508" s="525">
        <f>IFERROR(VLOOKUP($B508,'3.Tasks'!$BK$4:$BO$23,2,FALSE),0)</f>
        <v>0</v>
      </c>
      <c r="I508" s="529">
        <f t="shared" si="65"/>
        <v>0</v>
      </c>
      <c r="J508" s="529">
        <f>IFERROR(VLOOKUP($B508,'3.Tasks'!$BK$4:$BO$23,3,FALSE),0)</f>
        <v>0</v>
      </c>
      <c r="K508" s="532">
        <v>0</v>
      </c>
      <c r="L508" s="529">
        <f>IFERROR(VLOOKUP($B508,'3.Tasks'!$BK$4:$BO$23,4,FALSE),0)</f>
        <v>0</v>
      </c>
      <c r="M508" s="532">
        <v>0</v>
      </c>
      <c r="N508" s="529">
        <f>IFERROR(VLOOKUP($B508,'3.Tasks'!$BK$4:$BO$23,5,FALSE),0)</f>
        <v>0</v>
      </c>
      <c r="O508" s="532">
        <v>0</v>
      </c>
      <c r="P508" s="530">
        <f t="shared" si="64"/>
        <v>0</v>
      </c>
    </row>
    <row r="509" spans="1:16">
      <c r="A509" s="529">
        <f t="shared" si="68"/>
        <v>16</v>
      </c>
      <c r="B509" s="529" t="s">
        <v>825</v>
      </c>
      <c r="C509" s="529" t="s">
        <v>25</v>
      </c>
      <c r="D509" s="529" t="str">
        <f>VLOOKUP(A509,Tabela8[[No.]:[Institution**]],9,FALSE)</f>
        <v>FCiências.ID</v>
      </c>
      <c r="E509" s="531" t="s">
        <v>41</v>
      </c>
      <c r="F509" s="529">
        <f>HLOOKUP(C509,'5.Equipments'!$AJ$2:$BC$22,(A509+1),FALSE)</f>
        <v>0</v>
      </c>
      <c r="G509" s="526">
        <f t="shared" si="63"/>
        <v>0</v>
      </c>
      <c r="H509" s="525">
        <f>IFERROR(VLOOKUP($B509,'3.Tasks'!$BK$4:$BO$23,2,FALSE),0)</f>
        <v>0</v>
      </c>
      <c r="I509" s="529">
        <f t="shared" si="65"/>
        <v>0</v>
      </c>
      <c r="J509" s="529">
        <f>IFERROR(VLOOKUP($B509,'3.Tasks'!$BK$4:$BO$23,3,FALSE),0)</f>
        <v>0</v>
      </c>
      <c r="K509" s="532">
        <v>0</v>
      </c>
      <c r="L509" s="529">
        <f>IFERROR(VLOOKUP($B509,'3.Tasks'!$BK$4:$BO$23,4,FALSE),0)</f>
        <v>0</v>
      </c>
      <c r="M509" s="532">
        <v>0</v>
      </c>
      <c r="N509" s="529">
        <f>IFERROR(VLOOKUP($B509,'3.Tasks'!$BK$4:$BO$23,5,FALSE),0)</f>
        <v>0</v>
      </c>
      <c r="O509" s="532">
        <v>0</v>
      </c>
      <c r="P509" s="530">
        <f t="shared" si="64"/>
        <v>0</v>
      </c>
    </row>
    <row r="510" spans="1:16">
      <c r="A510" s="529">
        <f t="shared" si="68"/>
        <v>16</v>
      </c>
      <c r="B510" s="529" t="s">
        <v>826</v>
      </c>
      <c r="C510" s="529" t="s">
        <v>26</v>
      </c>
      <c r="D510" s="529" t="str">
        <f>VLOOKUP(A510,Tabela8[[No.]:[Institution**]],9,FALSE)</f>
        <v>FCiências.ID</v>
      </c>
      <c r="E510" s="531" t="s">
        <v>41</v>
      </c>
      <c r="F510" s="529">
        <f>HLOOKUP(C510,'5.Equipments'!$AJ$2:$BC$22,(A510+1),FALSE)</f>
        <v>0</v>
      </c>
      <c r="G510" s="526">
        <f t="shared" si="63"/>
        <v>0</v>
      </c>
      <c r="H510" s="525">
        <f>IFERROR(VLOOKUP($B510,'3.Tasks'!$BK$4:$BO$23,2,FALSE),0)</f>
        <v>0</v>
      </c>
      <c r="I510" s="529">
        <f t="shared" si="65"/>
        <v>0</v>
      </c>
      <c r="J510" s="529">
        <f>IFERROR(VLOOKUP($B510,'3.Tasks'!$BK$4:$BO$23,3,FALSE),0)</f>
        <v>0</v>
      </c>
      <c r="K510" s="532">
        <v>0</v>
      </c>
      <c r="L510" s="529">
        <f>IFERROR(VLOOKUP($B510,'3.Tasks'!$BK$4:$BO$23,4,FALSE),0)</f>
        <v>0</v>
      </c>
      <c r="M510" s="532">
        <v>0</v>
      </c>
      <c r="N510" s="529">
        <f>IFERROR(VLOOKUP($B510,'3.Tasks'!$BK$4:$BO$23,5,FALSE),0)</f>
        <v>0</v>
      </c>
      <c r="O510" s="532">
        <v>0</v>
      </c>
      <c r="P510" s="530">
        <f t="shared" si="64"/>
        <v>0</v>
      </c>
    </row>
    <row r="511" spans="1:16">
      <c r="A511" s="529">
        <f t="shared" si="68"/>
        <v>16</v>
      </c>
      <c r="B511" s="529" t="s">
        <v>827</v>
      </c>
      <c r="C511" s="529" t="s">
        <v>27</v>
      </c>
      <c r="D511" s="529" t="str">
        <f>VLOOKUP(A511,Tabela8[[No.]:[Institution**]],9,FALSE)</f>
        <v>FCiências.ID</v>
      </c>
      <c r="E511" s="531" t="s">
        <v>41</v>
      </c>
      <c r="F511" s="529">
        <f>HLOOKUP(C511,'5.Equipments'!$AJ$2:$BC$22,(A511+1),FALSE)</f>
        <v>0</v>
      </c>
      <c r="G511" s="526">
        <f t="shared" si="63"/>
        <v>0</v>
      </c>
      <c r="H511" s="525">
        <f>IFERROR(VLOOKUP($B511,'3.Tasks'!$BK$4:$BO$23,2,FALSE),0)</f>
        <v>0</v>
      </c>
      <c r="I511" s="529">
        <f t="shared" si="65"/>
        <v>0</v>
      </c>
      <c r="J511" s="529">
        <f>IFERROR(VLOOKUP($B511,'3.Tasks'!$BK$4:$BO$23,3,FALSE),0)</f>
        <v>0</v>
      </c>
      <c r="K511" s="532">
        <v>0</v>
      </c>
      <c r="L511" s="529">
        <f>IFERROR(VLOOKUP($B511,'3.Tasks'!$BK$4:$BO$23,4,FALSE),0)</f>
        <v>0</v>
      </c>
      <c r="M511" s="532">
        <v>0</v>
      </c>
      <c r="N511" s="529">
        <f>IFERROR(VLOOKUP($B511,'3.Tasks'!$BK$4:$BO$23,5,FALSE),0)</f>
        <v>0</v>
      </c>
      <c r="O511" s="532">
        <v>0</v>
      </c>
      <c r="P511" s="530">
        <f t="shared" si="64"/>
        <v>0</v>
      </c>
    </row>
    <row r="512" spans="1:16">
      <c r="A512" s="529">
        <f t="shared" si="68"/>
        <v>16</v>
      </c>
      <c r="B512" s="529" t="s">
        <v>828</v>
      </c>
      <c r="C512" s="529" t="s">
        <v>28</v>
      </c>
      <c r="D512" s="529" t="str">
        <f>VLOOKUP(A512,Tabela8[[No.]:[Institution**]],9,FALSE)</f>
        <v>FCiências.ID</v>
      </c>
      <c r="E512" s="531" t="s">
        <v>41</v>
      </c>
      <c r="F512" s="529">
        <f>HLOOKUP(C512,'5.Equipments'!$AJ$2:$BC$22,(A512+1),FALSE)</f>
        <v>0</v>
      </c>
      <c r="G512" s="526">
        <f t="shared" si="63"/>
        <v>0</v>
      </c>
      <c r="H512" s="525">
        <f>IFERROR(VLOOKUP($B512,'3.Tasks'!$BK$4:$BO$23,2,FALSE),0)</f>
        <v>0</v>
      </c>
      <c r="I512" s="529">
        <f t="shared" si="65"/>
        <v>0</v>
      </c>
      <c r="J512" s="529">
        <f>IFERROR(VLOOKUP($B512,'3.Tasks'!$BK$4:$BO$23,3,FALSE),0)</f>
        <v>0</v>
      </c>
      <c r="K512" s="532">
        <v>0</v>
      </c>
      <c r="L512" s="529">
        <f>IFERROR(VLOOKUP($B512,'3.Tasks'!$BK$4:$BO$23,4,FALSE),0)</f>
        <v>0</v>
      </c>
      <c r="M512" s="532">
        <v>0</v>
      </c>
      <c r="N512" s="529">
        <f>IFERROR(VLOOKUP($B512,'3.Tasks'!$BK$4:$BO$23,5,FALSE),0)</f>
        <v>0</v>
      </c>
      <c r="O512" s="532">
        <v>0</v>
      </c>
      <c r="P512" s="530">
        <f t="shared" si="64"/>
        <v>0</v>
      </c>
    </row>
    <row r="513" spans="1:16">
      <c r="A513" s="529">
        <f t="shared" si="68"/>
        <v>16</v>
      </c>
      <c r="B513" s="529" t="s">
        <v>829</v>
      </c>
      <c r="C513" s="529" t="s">
        <v>29</v>
      </c>
      <c r="D513" s="529" t="str">
        <f>VLOOKUP(A513,Tabela8[[No.]:[Institution**]],9,FALSE)</f>
        <v>FCiências.ID</v>
      </c>
      <c r="E513" s="531" t="s">
        <v>41</v>
      </c>
      <c r="F513" s="529">
        <f>HLOOKUP(C513,'5.Equipments'!$AJ$2:$BC$22,(A513+1),FALSE)</f>
        <v>0</v>
      </c>
      <c r="G513" s="526">
        <f t="shared" si="63"/>
        <v>0</v>
      </c>
      <c r="H513" s="525">
        <f>IFERROR(VLOOKUP($B513,'3.Tasks'!$BK$4:$BO$23,2,FALSE),0)</f>
        <v>0</v>
      </c>
      <c r="I513" s="529">
        <f t="shared" si="65"/>
        <v>0</v>
      </c>
      <c r="J513" s="529">
        <f>IFERROR(VLOOKUP($B513,'3.Tasks'!$BK$4:$BO$23,3,FALSE),0)</f>
        <v>0</v>
      </c>
      <c r="K513" s="532">
        <v>0</v>
      </c>
      <c r="L513" s="529">
        <f>IFERROR(VLOOKUP($B513,'3.Tasks'!$BK$4:$BO$23,4,FALSE),0)</f>
        <v>0</v>
      </c>
      <c r="M513" s="532">
        <v>0</v>
      </c>
      <c r="N513" s="529">
        <f>IFERROR(VLOOKUP($B513,'3.Tasks'!$BK$4:$BO$23,5,FALSE),0)</f>
        <v>0</v>
      </c>
      <c r="O513" s="532">
        <v>0</v>
      </c>
      <c r="P513" s="530">
        <f t="shared" si="64"/>
        <v>0</v>
      </c>
    </row>
    <row r="514" spans="1:16">
      <c r="A514" s="529">
        <f t="shared" si="68"/>
        <v>16</v>
      </c>
      <c r="B514" s="529" t="s">
        <v>830</v>
      </c>
      <c r="C514" s="529" t="s">
        <v>30</v>
      </c>
      <c r="D514" s="529" t="str">
        <f>VLOOKUP(A514,Tabela8[[No.]:[Institution**]],9,FALSE)</f>
        <v>FCiências.ID</v>
      </c>
      <c r="E514" s="531" t="s">
        <v>41</v>
      </c>
      <c r="F514" s="529">
        <f>HLOOKUP(C514,'5.Equipments'!$AJ$2:$BC$22,(A514+1),FALSE)</f>
        <v>0</v>
      </c>
      <c r="G514" s="526">
        <f t="shared" si="63"/>
        <v>0</v>
      </c>
      <c r="H514" s="525">
        <f>IFERROR(VLOOKUP($B514,'3.Tasks'!$BK$4:$BO$23,2,FALSE),0)</f>
        <v>0</v>
      </c>
      <c r="I514" s="529">
        <f t="shared" si="65"/>
        <v>0</v>
      </c>
      <c r="J514" s="529">
        <f>IFERROR(VLOOKUP($B514,'3.Tasks'!$BK$4:$BO$23,3,FALSE),0)</f>
        <v>0</v>
      </c>
      <c r="K514" s="532">
        <v>0</v>
      </c>
      <c r="L514" s="529">
        <f>IFERROR(VLOOKUP($B514,'3.Tasks'!$BK$4:$BO$23,4,FALSE),0)</f>
        <v>0</v>
      </c>
      <c r="M514" s="532">
        <v>0</v>
      </c>
      <c r="N514" s="529">
        <f>IFERROR(VLOOKUP($B514,'3.Tasks'!$BK$4:$BO$23,5,FALSE),0)</f>
        <v>0</v>
      </c>
      <c r="O514" s="532">
        <v>0</v>
      </c>
      <c r="P514" s="530">
        <f t="shared" si="64"/>
        <v>0</v>
      </c>
    </row>
    <row r="515" spans="1:16">
      <c r="A515" s="529">
        <f t="shared" si="68"/>
        <v>16</v>
      </c>
      <c r="B515" s="529" t="s">
        <v>831</v>
      </c>
      <c r="C515" s="529" t="s">
        <v>31</v>
      </c>
      <c r="D515" s="529" t="str">
        <f>VLOOKUP(A515,Tabela8[[No.]:[Institution**]],9,FALSE)</f>
        <v>FCiências.ID</v>
      </c>
      <c r="E515" s="531" t="s">
        <v>41</v>
      </c>
      <c r="F515" s="529">
        <f>HLOOKUP(C515,'5.Equipments'!$AJ$2:$BC$22,(A515+1),FALSE)</f>
        <v>0</v>
      </c>
      <c r="G515" s="526">
        <f t="shared" ref="G515:G578" si="69">IFERROR((H515+J515+L515+N515),0)</f>
        <v>0</v>
      </c>
      <c r="H515" s="525">
        <f>IFERROR(VLOOKUP($B515,'3.Tasks'!$BK$4:$BO$23,2,FALSE),0)</f>
        <v>0</v>
      </c>
      <c r="I515" s="529">
        <f t="shared" si="65"/>
        <v>0</v>
      </c>
      <c r="J515" s="529">
        <f>IFERROR(VLOOKUP($B515,'3.Tasks'!$BK$4:$BO$23,3,FALSE),0)</f>
        <v>0</v>
      </c>
      <c r="K515" s="532">
        <v>0</v>
      </c>
      <c r="L515" s="529">
        <f>IFERROR(VLOOKUP($B515,'3.Tasks'!$BK$4:$BO$23,4,FALSE),0)</f>
        <v>0</v>
      </c>
      <c r="M515" s="532">
        <v>0</v>
      </c>
      <c r="N515" s="529">
        <f>IFERROR(VLOOKUP($B515,'3.Tasks'!$BK$4:$BO$23,5,FALSE),0)</f>
        <v>0</v>
      </c>
      <c r="O515" s="532">
        <v>0</v>
      </c>
      <c r="P515" s="530">
        <f t="shared" ref="P515:P578" si="70">+F515-I515-K515-M515-O515</f>
        <v>0</v>
      </c>
    </row>
    <row r="516" spans="1:16">
      <c r="A516" s="529">
        <f t="shared" si="68"/>
        <v>16</v>
      </c>
      <c r="B516" s="529" t="s">
        <v>832</v>
      </c>
      <c r="C516" s="529" t="s">
        <v>32</v>
      </c>
      <c r="D516" s="529" t="str">
        <f>VLOOKUP(A516,Tabela8[[No.]:[Institution**]],9,FALSE)</f>
        <v>FCiências.ID</v>
      </c>
      <c r="E516" s="531" t="s">
        <v>41</v>
      </c>
      <c r="F516" s="529">
        <f>HLOOKUP(C516,'5.Equipments'!$AJ$2:$BC$22,(A516+1),FALSE)</f>
        <v>0</v>
      </c>
      <c r="G516" s="526">
        <f t="shared" si="69"/>
        <v>0</v>
      </c>
      <c r="H516" s="525">
        <f>IFERROR(VLOOKUP($B516,'3.Tasks'!$BK$4:$BO$23,2,FALSE),0)</f>
        <v>0</v>
      </c>
      <c r="I516" s="529">
        <f t="shared" si="65"/>
        <v>0</v>
      </c>
      <c r="J516" s="529">
        <f>IFERROR(VLOOKUP($B516,'3.Tasks'!$BK$4:$BO$23,3,FALSE),0)</f>
        <v>0</v>
      </c>
      <c r="K516" s="532">
        <v>0</v>
      </c>
      <c r="L516" s="529">
        <f>IFERROR(VLOOKUP($B516,'3.Tasks'!$BK$4:$BO$23,4,FALSE),0)</f>
        <v>0</v>
      </c>
      <c r="M516" s="532">
        <v>0</v>
      </c>
      <c r="N516" s="529">
        <f>IFERROR(VLOOKUP($B516,'3.Tasks'!$BK$4:$BO$23,5,FALSE),0)</f>
        <v>0</v>
      </c>
      <c r="O516" s="532">
        <v>0</v>
      </c>
      <c r="P516" s="530">
        <f t="shared" si="70"/>
        <v>0</v>
      </c>
    </row>
    <row r="517" spans="1:16">
      <c r="A517" s="529">
        <f t="shared" si="68"/>
        <v>16</v>
      </c>
      <c r="B517" s="529" t="s">
        <v>833</v>
      </c>
      <c r="C517" s="529" t="s">
        <v>33</v>
      </c>
      <c r="D517" s="529" t="str">
        <f>VLOOKUP(A517,Tabela8[[No.]:[Institution**]],9,FALSE)</f>
        <v>FCiências.ID</v>
      </c>
      <c r="E517" s="531" t="s">
        <v>41</v>
      </c>
      <c r="F517" s="529">
        <f>HLOOKUP(C517,'5.Equipments'!$AJ$2:$BC$22,(A517+1),FALSE)</f>
        <v>0</v>
      </c>
      <c r="G517" s="526">
        <f t="shared" si="69"/>
        <v>0</v>
      </c>
      <c r="H517" s="525">
        <f>IFERROR(VLOOKUP($B517,'3.Tasks'!$BK$4:$BO$23,2,FALSE),0)</f>
        <v>0</v>
      </c>
      <c r="I517" s="529">
        <f t="shared" si="65"/>
        <v>0</v>
      </c>
      <c r="J517" s="529">
        <f>IFERROR(VLOOKUP($B517,'3.Tasks'!$BK$4:$BO$23,3,FALSE),0)</f>
        <v>0</v>
      </c>
      <c r="K517" s="532">
        <v>0</v>
      </c>
      <c r="L517" s="529">
        <f>IFERROR(VLOOKUP($B517,'3.Tasks'!$BK$4:$BO$23,4,FALSE),0)</f>
        <v>0</v>
      </c>
      <c r="M517" s="532">
        <v>0</v>
      </c>
      <c r="N517" s="529">
        <f>IFERROR(VLOOKUP($B517,'3.Tasks'!$BK$4:$BO$23,5,FALSE),0)</f>
        <v>0</v>
      </c>
      <c r="O517" s="532">
        <v>0</v>
      </c>
      <c r="P517" s="530">
        <f t="shared" si="70"/>
        <v>0</v>
      </c>
    </row>
    <row r="518" spans="1:16">
      <c r="A518" s="529">
        <f t="shared" si="68"/>
        <v>16</v>
      </c>
      <c r="B518" s="529" t="s">
        <v>834</v>
      </c>
      <c r="C518" s="529" t="s">
        <v>34</v>
      </c>
      <c r="D518" s="529" t="str">
        <f>VLOOKUP(A518,Tabela8[[No.]:[Institution**]],9,FALSE)</f>
        <v>FCiências.ID</v>
      </c>
      <c r="E518" s="531" t="s">
        <v>41</v>
      </c>
      <c r="F518" s="529">
        <f>HLOOKUP(C518,'5.Equipments'!$AJ$2:$BC$22,(A518+1),FALSE)</f>
        <v>0</v>
      </c>
      <c r="G518" s="526">
        <f t="shared" si="69"/>
        <v>0</v>
      </c>
      <c r="H518" s="525">
        <f>IFERROR(VLOOKUP($B518,'3.Tasks'!$BK$4:$BO$23,2,FALSE),0)</f>
        <v>0</v>
      </c>
      <c r="I518" s="529">
        <f t="shared" si="65"/>
        <v>0</v>
      </c>
      <c r="J518" s="529">
        <f>IFERROR(VLOOKUP($B518,'3.Tasks'!$BK$4:$BO$23,3,FALSE),0)</f>
        <v>0</v>
      </c>
      <c r="K518" s="532">
        <v>0</v>
      </c>
      <c r="L518" s="529">
        <f>IFERROR(VLOOKUP($B518,'3.Tasks'!$BK$4:$BO$23,4,FALSE),0)</f>
        <v>0</v>
      </c>
      <c r="M518" s="532">
        <v>0</v>
      </c>
      <c r="N518" s="529">
        <f>IFERROR(VLOOKUP($B518,'3.Tasks'!$BK$4:$BO$23,5,FALSE),0)</f>
        <v>0</v>
      </c>
      <c r="O518" s="532">
        <v>0</v>
      </c>
      <c r="P518" s="530">
        <f t="shared" si="70"/>
        <v>0</v>
      </c>
    </row>
    <row r="519" spans="1:16">
      <c r="A519" s="529">
        <f t="shared" si="68"/>
        <v>16</v>
      </c>
      <c r="B519" s="529" t="s">
        <v>835</v>
      </c>
      <c r="C519" s="529" t="s">
        <v>35</v>
      </c>
      <c r="D519" s="529" t="str">
        <f>VLOOKUP(A519,Tabela8[[No.]:[Institution**]],9,FALSE)</f>
        <v>FCiências.ID</v>
      </c>
      <c r="E519" s="531" t="s">
        <v>41</v>
      </c>
      <c r="F519" s="529">
        <f>HLOOKUP(C519,'5.Equipments'!$AJ$2:$BC$22,(A519+1),FALSE)</f>
        <v>0</v>
      </c>
      <c r="G519" s="526">
        <f t="shared" si="69"/>
        <v>0</v>
      </c>
      <c r="H519" s="525">
        <f>IFERROR(VLOOKUP($B519,'3.Tasks'!$BK$4:$BO$23,2,FALSE),0)</f>
        <v>0</v>
      </c>
      <c r="I519" s="529">
        <f t="shared" si="65"/>
        <v>0</v>
      </c>
      <c r="J519" s="529">
        <f>IFERROR(VLOOKUP($B519,'3.Tasks'!$BK$4:$BO$23,3,FALSE),0)</f>
        <v>0</v>
      </c>
      <c r="K519" s="532">
        <v>0</v>
      </c>
      <c r="L519" s="529">
        <f>IFERROR(VLOOKUP($B519,'3.Tasks'!$BK$4:$BO$23,4,FALSE),0)</f>
        <v>0</v>
      </c>
      <c r="M519" s="532">
        <v>0</v>
      </c>
      <c r="N519" s="529">
        <f>IFERROR(VLOOKUP($B519,'3.Tasks'!$BK$4:$BO$23,5,FALSE),0)</f>
        <v>0</v>
      </c>
      <c r="O519" s="532">
        <v>0</v>
      </c>
      <c r="P519" s="530">
        <f t="shared" si="70"/>
        <v>0</v>
      </c>
    </row>
    <row r="520" spans="1:16">
      <c r="A520" s="529">
        <f t="shared" si="68"/>
        <v>16</v>
      </c>
      <c r="B520" s="529" t="s">
        <v>836</v>
      </c>
      <c r="C520" s="529" t="s">
        <v>36</v>
      </c>
      <c r="D520" s="529" t="str">
        <f>VLOOKUP(A520,Tabela8[[No.]:[Institution**]],9,FALSE)</f>
        <v>FCiências.ID</v>
      </c>
      <c r="E520" s="531" t="s">
        <v>41</v>
      </c>
      <c r="F520" s="529">
        <f>HLOOKUP(C520,'5.Equipments'!$AJ$2:$BC$22,(A520+1),FALSE)</f>
        <v>0</v>
      </c>
      <c r="G520" s="526">
        <f t="shared" si="69"/>
        <v>0</v>
      </c>
      <c r="H520" s="525">
        <f>IFERROR(VLOOKUP($B520,'3.Tasks'!$BK$4:$BO$23,2,FALSE),0)</f>
        <v>0</v>
      </c>
      <c r="I520" s="529">
        <f t="shared" si="65"/>
        <v>0</v>
      </c>
      <c r="J520" s="529">
        <f>IFERROR(VLOOKUP($B520,'3.Tasks'!$BK$4:$BO$23,3,FALSE),0)</f>
        <v>0</v>
      </c>
      <c r="K520" s="532">
        <v>0</v>
      </c>
      <c r="L520" s="529">
        <f>IFERROR(VLOOKUP($B520,'3.Tasks'!$BK$4:$BO$23,4,FALSE),0)</f>
        <v>0</v>
      </c>
      <c r="M520" s="532">
        <v>0</v>
      </c>
      <c r="N520" s="529">
        <f>IFERROR(VLOOKUP($B520,'3.Tasks'!$BK$4:$BO$23,5,FALSE),0)</f>
        <v>0</v>
      </c>
      <c r="O520" s="532">
        <v>0</v>
      </c>
      <c r="P520" s="530">
        <f t="shared" si="70"/>
        <v>0</v>
      </c>
    </row>
    <row r="521" spans="1:16">
      <c r="A521" s="529">
        <f t="shared" si="68"/>
        <v>16</v>
      </c>
      <c r="B521" s="529" t="s">
        <v>837</v>
      </c>
      <c r="C521" s="529" t="s">
        <v>37</v>
      </c>
      <c r="D521" s="529" t="str">
        <f>VLOOKUP(A521,Tabela8[[No.]:[Institution**]],9,FALSE)</f>
        <v>FCiências.ID</v>
      </c>
      <c r="E521" s="531" t="s">
        <v>41</v>
      </c>
      <c r="F521" s="529">
        <f>HLOOKUP(C521,'5.Equipments'!$AJ$2:$BC$22,(A521+1),FALSE)</f>
        <v>0</v>
      </c>
      <c r="G521" s="526">
        <f t="shared" si="69"/>
        <v>0</v>
      </c>
      <c r="H521" s="525">
        <f>IFERROR(VLOOKUP($B521,'3.Tasks'!$BK$4:$BO$23,2,FALSE),0)</f>
        <v>0</v>
      </c>
      <c r="I521" s="529">
        <f t="shared" si="65"/>
        <v>0</v>
      </c>
      <c r="J521" s="529">
        <f>IFERROR(VLOOKUP($B521,'3.Tasks'!$BK$4:$BO$23,3,FALSE),0)</f>
        <v>0</v>
      </c>
      <c r="K521" s="532">
        <v>0</v>
      </c>
      <c r="L521" s="529">
        <f>IFERROR(VLOOKUP($B521,'3.Tasks'!$BK$4:$BO$23,4,FALSE),0)</f>
        <v>0</v>
      </c>
      <c r="M521" s="532">
        <v>0</v>
      </c>
      <c r="N521" s="529">
        <f>IFERROR(VLOOKUP($B521,'3.Tasks'!$BK$4:$BO$23,5,FALSE),0)</f>
        <v>0</v>
      </c>
      <c r="O521" s="532">
        <v>0</v>
      </c>
      <c r="P521" s="530">
        <f t="shared" si="70"/>
        <v>0</v>
      </c>
    </row>
    <row r="522" spans="1:16">
      <c r="A522" s="529">
        <v>17</v>
      </c>
      <c r="B522" s="529" t="s">
        <v>818</v>
      </c>
      <c r="C522" s="529" t="s">
        <v>18</v>
      </c>
      <c r="D522" s="529" t="str">
        <f>VLOOKUP(A522,Tabela8[[No.]:[Institution**]],9,FALSE)</f>
        <v>FCiências.ID</v>
      </c>
      <c r="E522" s="531" t="s">
        <v>41</v>
      </c>
      <c r="F522" s="529">
        <f>HLOOKUP(C522,'5.Equipments'!$AJ$2:$BC$22,(A522+1),FALSE)</f>
        <v>0</v>
      </c>
      <c r="G522" s="526">
        <f t="shared" si="69"/>
        <v>0</v>
      </c>
      <c r="H522" s="525">
        <f>IFERROR(VLOOKUP($B522,'3.Tasks'!$BK$4:$BO$23,2,FALSE),0)</f>
        <v>0</v>
      </c>
      <c r="I522" s="529">
        <f t="shared" si="65"/>
        <v>0</v>
      </c>
      <c r="J522" s="529">
        <f>IFERROR(VLOOKUP($B522,'3.Tasks'!$BK$4:$BO$23,3,FALSE),0)</f>
        <v>0</v>
      </c>
      <c r="K522" s="532">
        <v>0</v>
      </c>
      <c r="L522" s="529">
        <f>IFERROR(VLOOKUP($B522,'3.Tasks'!$BK$4:$BO$23,4,FALSE),0)</f>
        <v>0</v>
      </c>
      <c r="M522" s="532">
        <v>0</v>
      </c>
      <c r="N522" s="529">
        <f>IFERROR(VLOOKUP($B522,'3.Tasks'!$BK$4:$BO$23,5,FALSE),0)</f>
        <v>0</v>
      </c>
      <c r="O522" s="532">
        <v>0</v>
      </c>
      <c r="P522" s="530">
        <f t="shared" si="70"/>
        <v>0</v>
      </c>
    </row>
    <row r="523" spans="1:16">
      <c r="A523" s="529">
        <f>+A522</f>
        <v>17</v>
      </c>
      <c r="B523" s="529" t="s">
        <v>819</v>
      </c>
      <c r="C523" s="529" t="s">
        <v>19</v>
      </c>
      <c r="D523" s="529" t="str">
        <f>VLOOKUP(A523,Tabela8[[No.]:[Institution**]],9,FALSE)</f>
        <v>FCiências.ID</v>
      </c>
      <c r="E523" s="531" t="s">
        <v>41</v>
      </c>
      <c r="F523" s="529">
        <f>HLOOKUP(C523,'5.Equipments'!$AJ$2:$BC$22,(A523+1),FALSE)</f>
        <v>0</v>
      </c>
      <c r="G523" s="526">
        <f t="shared" si="69"/>
        <v>0</v>
      </c>
      <c r="H523" s="525">
        <f>IFERROR(VLOOKUP($B523,'3.Tasks'!$BK$4:$BO$23,2,FALSE),0)</f>
        <v>0</v>
      </c>
      <c r="I523" s="529">
        <f t="shared" ref="I523:I586" si="71">+F523</f>
        <v>0</v>
      </c>
      <c r="J523" s="529">
        <f>IFERROR(VLOOKUP($B523,'3.Tasks'!$BK$4:$BO$23,3,FALSE),0)</f>
        <v>0</v>
      </c>
      <c r="K523" s="532">
        <v>0</v>
      </c>
      <c r="L523" s="529">
        <f>IFERROR(VLOOKUP($B523,'3.Tasks'!$BK$4:$BO$23,4,FALSE),0)</f>
        <v>0</v>
      </c>
      <c r="M523" s="532">
        <v>0</v>
      </c>
      <c r="N523" s="529">
        <f>IFERROR(VLOOKUP($B523,'3.Tasks'!$BK$4:$BO$23,5,FALSE),0)</f>
        <v>0</v>
      </c>
      <c r="O523" s="532">
        <v>0</v>
      </c>
      <c r="P523" s="530">
        <f t="shared" si="70"/>
        <v>0</v>
      </c>
    </row>
    <row r="524" spans="1:16">
      <c r="A524" s="529">
        <f t="shared" ref="A524:A541" si="72">+A523</f>
        <v>17</v>
      </c>
      <c r="B524" s="529" t="s">
        <v>820</v>
      </c>
      <c r="C524" s="529" t="s">
        <v>20</v>
      </c>
      <c r="D524" s="529" t="str">
        <f>VLOOKUP(A524,Tabela8[[No.]:[Institution**]],9,FALSE)</f>
        <v>FCiências.ID</v>
      </c>
      <c r="E524" s="531" t="s">
        <v>41</v>
      </c>
      <c r="F524" s="529">
        <f>HLOOKUP(C524,'5.Equipments'!$AJ$2:$BC$22,(A524+1),FALSE)</f>
        <v>0</v>
      </c>
      <c r="G524" s="526">
        <f t="shared" si="69"/>
        <v>0</v>
      </c>
      <c r="H524" s="525">
        <f>IFERROR(VLOOKUP($B524,'3.Tasks'!$BK$4:$BO$23,2,FALSE),0)</f>
        <v>0</v>
      </c>
      <c r="I524" s="529">
        <f t="shared" si="71"/>
        <v>0</v>
      </c>
      <c r="J524" s="529">
        <f>IFERROR(VLOOKUP($B524,'3.Tasks'!$BK$4:$BO$23,3,FALSE),0)</f>
        <v>0</v>
      </c>
      <c r="K524" s="532">
        <v>0</v>
      </c>
      <c r="L524" s="529">
        <f>IFERROR(VLOOKUP($B524,'3.Tasks'!$BK$4:$BO$23,4,FALSE),0)</f>
        <v>0</v>
      </c>
      <c r="M524" s="532">
        <v>0</v>
      </c>
      <c r="N524" s="529">
        <f>IFERROR(VLOOKUP($B524,'3.Tasks'!$BK$4:$BO$23,5,FALSE),0)</f>
        <v>0</v>
      </c>
      <c r="O524" s="532">
        <v>0</v>
      </c>
      <c r="P524" s="530">
        <f t="shared" si="70"/>
        <v>0</v>
      </c>
    </row>
    <row r="525" spans="1:16">
      <c r="A525" s="529">
        <f t="shared" si="72"/>
        <v>17</v>
      </c>
      <c r="B525" s="529" t="s">
        <v>821</v>
      </c>
      <c r="C525" s="529" t="s">
        <v>21</v>
      </c>
      <c r="D525" s="529" t="str">
        <f>VLOOKUP(A525,Tabela8[[No.]:[Institution**]],9,FALSE)</f>
        <v>FCiências.ID</v>
      </c>
      <c r="E525" s="531" t="s">
        <v>41</v>
      </c>
      <c r="F525" s="529">
        <f>HLOOKUP(C525,'5.Equipments'!$AJ$2:$BC$22,(A525+1),FALSE)</f>
        <v>0</v>
      </c>
      <c r="G525" s="526">
        <f t="shared" si="69"/>
        <v>0</v>
      </c>
      <c r="H525" s="525">
        <f>IFERROR(VLOOKUP($B525,'3.Tasks'!$BK$4:$BO$23,2,FALSE),0)</f>
        <v>0</v>
      </c>
      <c r="I525" s="529">
        <f t="shared" si="71"/>
        <v>0</v>
      </c>
      <c r="J525" s="529">
        <f>IFERROR(VLOOKUP($B525,'3.Tasks'!$BK$4:$BO$23,3,FALSE),0)</f>
        <v>0</v>
      </c>
      <c r="K525" s="532">
        <v>0</v>
      </c>
      <c r="L525" s="529">
        <f>IFERROR(VLOOKUP($B525,'3.Tasks'!$BK$4:$BO$23,4,FALSE),0)</f>
        <v>0</v>
      </c>
      <c r="M525" s="532">
        <v>0</v>
      </c>
      <c r="N525" s="529">
        <f>IFERROR(VLOOKUP($B525,'3.Tasks'!$BK$4:$BO$23,5,FALSE),0)</f>
        <v>0</v>
      </c>
      <c r="O525" s="532">
        <v>0</v>
      </c>
      <c r="P525" s="530">
        <f t="shared" si="70"/>
        <v>0</v>
      </c>
    </row>
    <row r="526" spans="1:16">
      <c r="A526" s="529">
        <f t="shared" si="72"/>
        <v>17</v>
      </c>
      <c r="B526" s="529" t="s">
        <v>822</v>
      </c>
      <c r="C526" s="529" t="s">
        <v>22</v>
      </c>
      <c r="D526" s="529" t="str">
        <f>VLOOKUP(A526,Tabela8[[No.]:[Institution**]],9,FALSE)</f>
        <v>FCiências.ID</v>
      </c>
      <c r="E526" s="531" t="s">
        <v>41</v>
      </c>
      <c r="F526" s="529">
        <f>HLOOKUP(C526,'5.Equipments'!$AJ$2:$BC$22,(A526+1),FALSE)</f>
        <v>0</v>
      </c>
      <c r="G526" s="526">
        <f t="shared" si="69"/>
        <v>0</v>
      </c>
      <c r="H526" s="525">
        <f>IFERROR(VLOOKUP($B526,'3.Tasks'!$BK$4:$BO$23,2,FALSE),0)</f>
        <v>0</v>
      </c>
      <c r="I526" s="529">
        <f t="shared" si="71"/>
        <v>0</v>
      </c>
      <c r="J526" s="529">
        <f>IFERROR(VLOOKUP($B526,'3.Tasks'!$BK$4:$BO$23,3,FALSE),0)</f>
        <v>0</v>
      </c>
      <c r="K526" s="532">
        <v>0</v>
      </c>
      <c r="L526" s="529">
        <f>IFERROR(VLOOKUP($B526,'3.Tasks'!$BK$4:$BO$23,4,FALSE),0)</f>
        <v>0</v>
      </c>
      <c r="M526" s="532">
        <v>0</v>
      </c>
      <c r="N526" s="529">
        <f>IFERROR(VLOOKUP($B526,'3.Tasks'!$BK$4:$BO$23,5,FALSE),0)</f>
        <v>0</v>
      </c>
      <c r="O526" s="532">
        <v>0</v>
      </c>
      <c r="P526" s="530">
        <f t="shared" si="70"/>
        <v>0</v>
      </c>
    </row>
    <row r="527" spans="1:16">
      <c r="A527" s="529">
        <f t="shared" si="72"/>
        <v>17</v>
      </c>
      <c r="B527" s="529" t="s">
        <v>823</v>
      </c>
      <c r="C527" s="529" t="s">
        <v>23</v>
      </c>
      <c r="D527" s="529" t="str">
        <f>VLOOKUP(A527,Tabela8[[No.]:[Institution**]],9,FALSE)</f>
        <v>FCiências.ID</v>
      </c>
      <c r="E527" s="531" t="s">
        <v>41</v>
      </c>
      <c r="F527" s="529">
        <f>HLOOKUP(C527,'5.Equipments'!$AJ$2:$BC$22,(A527+1),FALSE)</f>
        <v>0</v>
      </c>
      <c r="G527" s="526">
        <f t="shared" si="69"/>
        <v>0</v>
      </c>
      <c r="H527" s="525">
        <f>IFERROR(VLOOKUP($B527,'3.Tasks'!$BK$4:$BO$23,2,FALSE),0)</f>
        <v>0</v>
      </c>
      <c r="I527" s="529">
        <f t="shared" si="71"/>
        <v>0</v>
      </c>
      <c r="J527" s="529">
        <f>IFERROR(VLOOKUP($B527,'3.Tasks'!$BK$4:$BO$23,3,FALSE),0)</f>
        <v>0</v>
      </c>
      <c r="K527" s="532">
        <v>0</v>
      </c>
      <c r="L527" s="529">
        <f>IFERROR(VLOOKUP($B527,'3.Tasks'!$BK$4:$BO$23,4,FALSE),0)</f>
        <v>0</v>
      </c>
      <c r="M527" s="532">
        <v>0</v>
      </c>
      <c r="N527" s="529">
        <f>IFERROR(VLOOKUP($B527,'3.Tasks'!$BK$4:$BO$23,5,FALSE),0)</f>
        <v>0</v>
      </c>
      <c r="O527" s="532">
        <v>0</v>
      </c>
      <c r="P527" s="530">
        <f t="shared" si="70"/>
        <v>0</v>
      </c>
    </row>
    <row r="528" spans="1:16">
      <c r="A528" s="529">
        <f t="shared" si="72"/>
        <v>17</v>
      </c>
      <c r="B528" s="529" t="s">
        <v>824</v>
      </c>
      <c r="C528" s="529" t="s">
        <v>24</v>
      </c>
      <c r="D528" s="529" t="str">
        <f>VLOOKUP(A528,Tabela8[[No.]:[Institution**]],9,FALSE)</f>
        <v>FCiências.ID</v>
      </c>
      <c r="E528" s="531" t="s">
        <v>41</v>
      </c>
      <c r="F528" s="529">
        <f>HLOOKUP(C528,'5.Equipments'!$AJ$2:$BC$22,(A528+1),FALSE)</f>
        <v>0</v>
      </c>
      <c r="G528" s="526">
        <f t="shared" si="69"/>
        <v>0</v>
      </c>
      <c r="H528" s="525">
        <f>IFERROR(VLOOKUP($B528,'3.Tasks'!$BK$4:$BO$23,2,FALSE),0)</f>
        <v>0</v>
      </c>
      <c r="I528" s="529">
        <f t="shared" si="71"/>
        <v>0</v>
      </c>
      <c r="J528" s="529">
        <f>IFERROR(VLOOKUP($B528,'3.Tasks'!$BK$4:$BO$23,3,FALSE),0)</f>
        <v>0</v>
      </c>
      <c r="K528" s="532">
        <v>0</v>
      </c>
      <c r="L528" s="529">
        <f>IFERROR(VLOOKUP($B528,'3.Tasks'!$BK$4:$BO$23,4,FALSE),0)</f>
        <v>0</v>
      </c>
      <c r="M528" s="532">
        <v>0</v>
      </c>
      <c r="N528" s="529">
        <f>IFERROR(VLOOKUP($B528,'3.Tasks'!$BK$4:$BO$23,5,FALSE),0)</f>
        <v>0</v>
      </c>
      <c r="O528" s="532">
        <v>0</v>
      </c>
      <c r="P528" s="530">
        <f t="shared" si="70"/>
        <v>0</v>
      </c>
    </row>
    <row r="529" spans="1:16">
      <c r="A529" s="529">
        <f t="shared" si="72"/>
        <v>17</v>
      </c>
      <c r="B529" s="529" t="s">
        <v>825</v>
      </c>
      <c r="C529" s="529" t="s">
        <v>25</v>
      </c>
      <c r="D529" s="529" t="str">
        <f>VLOOKUP(A529,Tabela8[[No.]:[Institution**]],9,FALSE)</f>
        <v>FCiências.ID</v>
      </c>
      <c r="E529" s="531" t="s">
        <v>41</v>
      </c>
      <c r="F529" s="529">
        <f>HLOOKUP(C529,'5.Equipments'!$AJ$2:$BC$22,(A529+1),FALSE)</f>
        <v>0</v>
      </c>
      <c r="G529" s="526">
        <f t="shared" si="69"/>
        <v>0</v>
      </c>
      <c r="H529" s="525">
        <f>IFERROR(VLOOKUP($B529,'3.Tasks'!$BK$4:$BO$23,2,FALSE),0)</f>
        <v>0</v>
      </c>
      <c r="I529" s="529">
        <f t="shared" si="71"/>
        <v>0</v>
      </c>
      <c r="J529" s="529">
        <f>IFERROR(VLOOKUP($B529,'3.Tasks'!$BK$4:$BO$23,3,FALSE),0)</f>
        <v>0</v>
      </c>
      <c r="K529" s="532">
        <v>0</v>
      </c>
      <c r="L529" s="529">
        <f>IFERROR(VLOOKUP($B529,'3.Tasks'!$BK$4:$BO$23,4,FALSE),0)</f>
        <v>0</v>
      </c>
      <c r="M529" s="532">
        <v>0</v>
      </c>
      <c r="N529" s="529">
        <f>IFERROR(VLOOKUP($B529,'3.Tasks'!$BK$4:$BO$23,5,FALSE),0)</f>
        <v>0</v>
      </c>
      <c r="O529" s="532">
        <v>0</v>
      </c>
      <c r="P529" s="530">
        <f t="shared" si="70"/>
        <v>0</v>
      </c>
    </row>
    <row r="530" spans="1:16">
      <c r="A530" s="529">
        <f t="shared" si="72"/>
        <v>17</v>
      </c>
      <c r="B530" s="529" t="s">
        <v>826</v>
      </c>
      <c r="C530" s="529" t="s">
        <v>26</v>
      </c>
      <c r="D530" s="529" t="str">
        <f>VLOOKUP(A530,Tabela8[[No.]:[Institution**]],9,FALSE)</f>
        <v>FCiências.ID</v>
      </c>
      <c r="E530" s="531" t="s">
        <v>41</v>
      </c>
      <c r="F530" s="529">
        <f>HLOOKUP(C530,'5.Equipments'!$AJ$2:$BC$22,(A530+1),FALSE)</f>
        <v>0</v>
      </c>
      <c r="G530" s="526">
        <f t="shared" si="69"/>
        <v>0</v>
      </c>
      <c r="H530" s="525">
        <f>IFERROR(VLOOKUP($B530,'3.Tasks'!$BK$4:$BO$23,2,FALSE),0)</f>
        <v>0</v>
      </c>
      <c r="I530" s="529">
        <f t="shared" si="71"/>
        <v>0</v>
      </c>
      <c r="J530" s="529">
        <f>IFERROR(VLOOKUP($B530,'3.Tasks'!$BK$4:$BO$23,3,FALSE),0)</f>
        <v>0</v>
      </c>
      <c r="K530" s="532">
        <v>0</v>
      </c>
      <c r="L530" s="529">
        <f>IFERROR(VLOOKUP($B530,'3.Tasks'!$BK$4:$BO$23,4,FALSE),0)</f>
        <v>0</v>
      </c>
      <c r="M530" s="532">
        <v>0</v>
      </c>
      <c r="N530" s="529">
        <f>IFERROR(VLOOKUP($B530,'3.Tasks'!$BK$4:$BO$23,5,FALSE),0)</f>
        <v>0</v>
      </c>
      <c r="O530" s="532">
        <v>0</v>
      </c>
      <c r="P530" s="530">
        <f t="shared" si="70"/>
        <v>0</v>
      </c>
    </row>
    <row r="531" spans="1:16">
      <c r="A531" s="529">
        <f t="shared" si="72"/>
        <v>17</v>
      </c>
      <c r="B531" s="529" t="s">
        <v>827</v>
      </c>
      <c r="C531" s="529" t="s">
        <v>27</v>
      </c>
      <c r="D531" s="529" t="str">
        <f>VLOOKUP(A531,Tabela8[[No.]:[Institution**]],9,FALSE)</f>
        <v>FCiências.ID</v>
      </c>
      <c r="E531" s="531" t="s">
        <v>41</v>
      </c>
      <c r="F531" s="529">
        <f>HLOOKUP(C531,'5.Equipments'!$AJ$2:$BC$22,(A531+1),FALSE)</f>
        <v>0</v>
      </c>
      <c r="G531" s="526">
        <f t="shared" si="69"/>
        <v>0</v>
      </c>
      <c r="H531" s="525">
        <f>IFERROR(VLOOKUP($B531,'3.Tasks'!$BK$4:$BO$23,2,FALSE),0)</f>
        <v>0</v>
      </c>
      <c r="I531" s="529">
        <f t="shared" si="71"/>
        <v>0</v>
      </c>
      <c r="J531" s="529">
        <f>IFERROR(VLOOKUP($B531,'3.Tasks'!$BK$4:$BO$23,3,FALSE),0)</f>
        <v>0</v>
      </c>
      <c r="K531" s="532">
        <v>0</v>
      </c>
      <c r="L531" s="529">
        <f>IFERROR(VLOOKUP($B531,'3.Tasks'!$BK$4:$BO$23,4,FALSE),0)</f>
        <v>0</v>
      </c>
      <c r="M531" s="532">
        <v>0</v>
      </c>
      <c r="N531" s="529">
        <f>IFERROR(VLOOKUP($B531,'3.Tasks'!$BK$4:$BO$23,5,FALSE),0)</f>
        <v>0</v>
      </c>
      <c r="O531" s="532">
        <v>0</v>
      </c>
      <c r="P531" s="530">
        <f t="shared" si="70"/>
        <v>0</v>
      </c>
    </row>
    <row r="532" spans="1:16">
      <c r="A532" s="529">
        <f t="shared" si="72"/>
        <v>17</v>
      </c>
      <c r="B532" s="529" t="s">
        <v>828</v>
      </c>
      <c r="C532" s="529" t="s">
        <v>28</v>
      </c>
      <c r="D532" s="529" t="str">
        <f>VLOOKUP(A532,Tabela8[[No.]:[Institution**]],9,FALSE)</f>
        <v>FCiências.ID</v>
      </c>
      <c r="E532" s="531" t="s">
        <v>41</v>
      </c>
      <c r="F532" s="529">
        <f>HLOOKUP(C532,'5.Equipments'!$AJ$2:$BC$22,(A532+1),FALSE)</f>
        <v>0</v>
      </c>
      <c r="G532" s="526">
        <f t="shared" si="69"/>
        <v>0</v>
      </c>
      <c r="H532" s="525">
        <f>IFERROR(VLOOKUP($B532,'3.Tasks'!$BK$4:$BO$23,2,FALSE),0)</f>
        <v>0</v>
      </c>
      <c r="I532" s="529">
        <f t="shared" si="71"/>
        <v>0</v>
      </c>
      <c r="J532" s="529">
        <f>IFERROR(VLOOKUP($B532,'3.Tasks'!$BK$4:$BO$23,3,FALSE),0)</f>
        <v>0</v>
      </c>
      <c r="K532" s="532">
        <v>0</v>
      </c>
      <c r="L532" s="529">
        <f>IFERROR(VLOOKUP($B532,'3.Tasks'!$BK$4:$BO$23,4,FALSE),0)</f>
        <v>0</v>
      </c>
      <c r="M532" s="532">
        <v>0</v>
      </c>
      <c r="N532" s="529">
        <f>IFERROR(VLOOKUP($B532,'3.Tasks'!$BK$4:$BO$23,5,FALSE),0)</f>
        <v>0</v>
      </c>
      <c r="O532" s="532">
        <v>0</v>
      </c>
      <c r="P532" s="530">
        <f t="shared" si="70"/>
        <v>0</v>
      </c>
    </row>
    <row r="533" spans="1:16">
      <c r="A533" s="529">
        <f t="shared" si="72"/>
        <v>17</v>
      </c>
      <c r="B533" s="529" t="s">
        <v>829</v>
      </c>
      <c r="C533" s="529" t="s">
        <v>29</v>
      </c>
      <c r="D533" s="529" t="str">
        <f>VLOOKUP(A533,Tabela8[[No.]:[Institution**]],9,FALSE)</f>
        <v>FCiências.ID</v>
      </c>
      <c r="E533" s="531" t="s">
        <v>41</v>
      </c>
      <c r="F533" s="529">
        <f>HLOOKUP(C533,'5.Equipments'!$AJ$2:$BC$22,(A533+1),FALSE)</f>
        <v>0</v>
      </c>
      <c r="G533" s="526">
        <f t="shared" si="69"/>
        <v>0</v>
      </c>
      <c r="H533" s="525">
        <f>IFERROR(VLOOKUP($B533,'3.Tasks'!$BK$4:$BO$23,2,FALSE),0)</f>
        <v>0</v>
      </c>
      <c r="I533" s="529">
        <f t="shared" si="71"/>
        <v>0</v>
      </c>
      <c r="J533" s="529">
        <f>IFERROR(VLOOKUP($B533,'3.Tasks'!$BK$4:$BO$23,3,FALSE),0)</f>
        <v>0</v>
      </c>
      <c r="K533" s="532">
        <v>0</v>
      </c>
      <c r="L533" s="529">
        <f>IFERROR(VLOOKUP($B533,'3.Tasks'!$BK$4:$BO$23,4,FALSE),0)</f>
        <v>0</v>
      </c>
      <c r="M533" s="532">
        <v>0</v>
      </c>
      <c r="N533" s="529">
        <f>IFERROR(VLOOKUP($B533,'3.Tasks'!$BK$4:$BO$23,5,FALSE),0)</f>
        <v>0</v>
      </c>
      <c r="O533" s="532">
        <v>0</v>
      </c>
      <c r="P533" s="530">
        <f t="shared" si="70"/>
        <v>0</v>
      </c>
    </row>
    <row r="534" spans="1:16">
      <c r="A534" s="529">
        <f t="shared" si="72"/>
        <v>17</v>
      </c>
      <c r="B534" s="529" t="s">
        <v>830</v>
      </c>
      <c r="C534" s="529" t="s">
        <v>30</v>
      </c>
      <c r="D534" s="529" t="str">
        <f>VLOOKUP(A534,Tabela8[[No.]:[Institution**]],9,FALSE)</f>
        <v>FCiências.ID</v>
      </c>
      <c r="E534" s="531" t="s">
        <v>41</v>
      </c>
      <c r="F534" s="529">
        <f>HLOOKUP(C534,'5.Equipments'!$AJ$2:$BC$22,(A534+1),FALSE)</f>
        <v>0</v>
      </c>
      <c r="G534" s="526">
        <f t="shared" si="69"/>
        <v>0</v>
      </c>
      <c r="H534" s="525">
        <f>IFERROR(VLOOKUP($B534,'3.Tasks'!$BK$4:$BO$23,2,FALSE),0)</f>
        <v>0</v>
      </c>
      <c r="I534" s="529">
        <f t="shared" si="71"/>
        <v>0</v>
      </c>
      <c r="J534" s="529">
        <f>IFERROR(VLOOKUP($B534,'3.Tasks'!$BK$4:$BO$23,3,FALSE),0)</f>
        <v>0</v>
      </c>
      <c r="K534" s="532">
        <v>0</v>
      </c>
      <c r="L534" s="529">
        <f>IFERROR(VLOOKUP($B534,'3.Tasks'!$BK$4:$BO$23,4,FALSE),0)</f>
        <v>0</v>
      </c>
      <c r="M534" s="532">
        <v>0</v>
      </c>
      <c r="N534" s="529">
        <f>IFERROR(VLOOKUP($B534,'3.Tasks'!$BK$4:$BO$23,5,FALSE),0)</f>
        <v>0</v>
      </c>
      <c r="O534" s="532">
        <v>0</v>
      </c>
      <c r="P534" s="530">
        <f t="shared" si="70"/>
        <v>0</v>
      </c>
    </row>
    <row r="535" spans="1:16">
      <c r="A535" s="529">
        <f t="shared" si="72"/>
        <v>17</v>
      </c>
      <c r="B535" s="529" t="s">
        <v>831</v>
      </c>
      <c r="C535" s="529" t="s">
        <v>31</v>
      </c>
      <c r="D535" s="529" t="str">
        <f>VLOOKUP(A535,Tabela8[[No.]:[Institution**]],9,FALSE)</f>
        <v>FCiências.ID</v>
      </c>
      <c r="E535" s="531" t="s">
        <v>41</v>
      </c>
      <c r="F535" s="529">
        <f>HLOOKUP(C535,'5.Equipments'!$AJ$2:$BC$22,(A535+1),FALSE)</f>
        <v>0</v>
      </c>
      <c r="G535" s="526">
        <f t="shared" si="69"/>
        <v>0</v>
      </c>
      <c r="H535" s="525">
        <f>IFERROR(VLOOKUP($B535,'3.Tasks'!$BK$4:$BO$23,2,FALSE),0)</f>
        <v>0</v>
      </c>
      <c r="I535" s="529">
        <f t="shared" si="71"/>
        <v>0</v>
      </c>
      <c r="J535" s="529">
        <f>IFERROR(VLOOKUP($B535,'3.Tasks'!$BK$4:$BO$23,3,FALSE),0)</f>
        <v>0</v>
      </c>
      <c r="K535" s="532">
        <v>0</v>
      </c>
      <c r="L535" s="529">
        <f>IFERROR(VLOOKUP($B535,'3.Tasks'!$BK$4:$BO$23,4,FALSE),0)</f>
        <v>0</v>
      </c>
      <c r="M535" s="532">
        <v>0</v>
      </c>
      <c r="N535" s="529">
        <f>IFERROR(VLOOKUP($B535,'3.Tasks'!$BK$4:$BO$23,5,FALSE),0)</f>
        <v>0</v>
      </c>
      <c r="O535" s="532">
        <v>0</v>
      </c>
      <c r="P535" s="530">
        <f t="shared" si="70"/>
        <v>0</v>
      </c>
    </row>
    <row r="536" spans="1:16">
      <c r="A536" s="529">
        <f t="shared" si="72"/>
        <v>17</v>
      </c>
      <c r="B536" s="529" t="s">
        <v>832</v>
      </c>
      <c r="C536" s="529" t="s">
        <v>32</v>
      </c>
      <c r="D536" s="529" t="str">
        <f>VLOOKUP(A536,Tabela8[[No.]:[Institution**]],9,FALSE)</f>
        <v>FCiências.ID</v>
      </c>
      <c r="E536" s="531" t="s">
        <v>41</v>
      </c>
      <c r="F536" s="529">
        <f>HLOOKUP(C536,'5.Equipments'!$AJ$2:$BC$22,(A536+1),FALSE)</f>
        <v>0</v>
      </c>
      <c r="G536" s="526">
        <f t="shared" si="69"/>
        <v>0</v>
      </c>
      <c r="H536" s="525">
        <f>IFERROR(VLOOKUP($B536,'3.Tasks'!$BK$4:$BO$23,2,FALSE),0)</f>
        <v>0</v>
      </c>
      <c r="I536" s="529">
        <f t="shared" si="71"/>
        <v>0</v>
      </c>
      <c r="J536" s="529">
        <f>IFERROR(VLOOKUP($B536,'3.Tasks'!$BK$4:$BO$23,3,FALSE),0)</f>
        <v>0</v>
      </c>
      <c r="K536" s="532">
        <v>0</v>
      </c>
      <c r="L536" s="529">
        <f>IFERROR(VLOOKUP($B536,'3.Tasks'!$BK$4:$BO$23,4,FALSE),0)</f>
        <v>0</v>
      </c>
      <c r="M536" s="532">
        <v>0</v>
      </c>
      <c r="N536" s="529">
        <f>IFERROR(VLOOKUP($B536,'3.Tasks'!$BK$4:$BO$23,5,FALSE),0)</f>
        <v>0</v>
      </c>
      <c r="O536" s="532">
        <v>0</v>
      </c>
      <c r="P536" s="530">
        <f t="shared" si="70"/>
        <v>0</v>
      </c>
    </row>
    <row r="537" spans="1:16">
      <c r="A537" s="529">
        <f t="shared" si="72"/>
        <v>17</v>
      </c>
      <c r="B537" s="529" t="s">
        <v>833</v>
      </c>
      <c r="C537" s="529" t="s">
        <v>33</v>
      </c>
      <c r="D537" s="529" t="str">
        <f>VLOOKUP(A537,Tabela8[[No.]:[Institution**]],9,FALSE)</f>
        <v>FCiências.ID</v>
      </c>
      <c r="E537" s="531" t="s">
        <v>41</v>
      </c>
      <c r="F537" s="529">
        <f>HLOOKUP(C537,'5.Equipments'!$AJ$2:$BC$22,(A537+1),FALSE)</f>
        <v>0</v>
      </c>
      <c r="G537" s="526">
        <f t="shared" si="69"/>
        <v>0</v>
      </c>
      <c r="H537" s="525">
        <f>IFERROR(VLOOKUP($B537,'3.Tasks'!$BK$4:$BO$23,2,FALSE),0)</f>
        <v>0</v>
      </c>
      <c r="I537" s="529">
        <f t="shared" si="71"/>
        <v>0</v>
      </c>
      <c r="J537" s="529">
        <f>IFERROR(VLOOKUP($B537,'3.Tasks'!$BK$4:$BO$23,3,FALSE),0)</f>
        <v>0</v>
      </c>
      <c r="K537" s="532">
        <v>0</v>
      </c>
      <c r="L537" s="529">
        <f>IFERROR(VLOOKUP($B537,'3.Tasks'!$BK$4:$BO$23,4,FALSE),0)</f>
        <v>0</v>
      </c>
      <c r="M537" s="532">
        <v>0</v>
      </c>
      <c r="N537" s="529">
        <f>IFERROR(VLOOKUP($B537,'3.Tasks'!$BK$4:$BO$23,5,FALSE),0)</f>
        <v>0</v>
      </c>
      <c r="O537" s="532">
        <v>0</v>
      </c>
      <c r="P537" s="530">
        <f t="shared" si="70"/>
        <v>0</v>
      </c>
    </row>
    <row r="538" spans="1:16">
      <c r="A538" s="529">
        <f t="shared" si="72"/>
        <v>17</v>
      </c>
      <c r="B538" s="529" t="s">
        <v>834</v>
      </c>
      <c r="C538" s="529" t="s">
        <v>34</v>
      </c>
      <c r="D538" s="529" t="str">
        <f>VLOOKUP(A538,Tabela8[[No.]:[Institution**]],9,FALSE)</f>
        <v>FCiências.ID</v>
      </c>
      <c r="E538" s="531" t="s">
        <v>41</v>
      </c>
      <c r="F538" s="529">
        <f>HLOOKUP(C538,'5.Equipments'!$AJ$2:$BC$22,(A538+1),FALSE)</f>
        <v>0</v>
      </c>
      <c r="G538" s="526">
        <f t="shared" si="69"/>
        <v>0</v>
      </c>
      <c r="H538" s="525">
        <f>IFERROR(VLOOKUP($B538,'3.Tasks'!$BK$4:$BO$23,2,FALSE),0)</f>
        <v>0</v>
      </c>
      <c r="I538" s="529">
        <f t="shared" si="71"/>
        <v>0</v>
      </c>
      <c r="J538" s="529">
        <f>IFERROR(VLOOKUP($B538,'3.Tasks'!$BK$4:$BO$23,3,FALSE),0)</f>
        <v>0</v>
      </c>
      <c r="K538" s="532">
        <v>0</v>
      </c>
      <c r="L538" s="529">
        <f>IFERROR(VLOOKUP($B538,'3.Tasks'!$BK$4:$BO$23,4,FALSE),0)</f>
        <v>0</v>
      </c>
      <c r="M538" s="532">
        <v>0</v>
      </c>
      <c r="N538" s="529">
        <f>IFERROR(VLOOKUP($B538,'3.Tasks'!$BK$4:$BO$23,5,FALSE),0)</f>
        <v>0</v>
      </c>
      <c r="O538" s="532">
        <v>0</v>
      </c>
      <c r="P538" s="530">
        <f t="shared" si="70"/>
        <v>0</v>
      </c>
    </row>
    <row r="539" spans="1:16">
      <c r="A539" s="529">
        <f t="shared" si="72"/>
        <v>17</v>
      </c>
      <c r="B539" s="529" t="s">
        <v>835</v>
      </c>
      <c r="C539" s="529" t="s">
        <v>35</v>
      </c>
      <c r="D539" s="529" t="str">
        <f>VLOOKUP(A539,Tabela8[[No.]:[Institution**]],9,FALSE)</f>
        <v>FCiências.ID</v>
      </c>
      <c r="E539" s="531" t="s">
        <v>41</v>
      </c>
      <c r="F539" s="529">
        <f>HLOOKUP(C539,'5.Equipments'!$AJ$2:$BC$22,(A539+1),FALSE)</f>
        <v>0</v>
      </c>
      <c r="G539" s="526">
        <f t="shared" si="69"/>
        <v>0</v>
      </c>
      <c r="H539" s="525">
        <f>IFERROR(VLOOKUP($B539,'3.Tasks'!$BK$4:$BO$23,2,FALSE),0)</f>
        <v>0</v>
      </c>
      <c r="I539" s="529">
        <f t="shared" si="71"/>
        <v>0</v>
      </c>
      <c r="J539" s="529">
        <f>IFERROR(VLOOKUP($B539,'3.Tasks'!$BK$4:$BO$23,3,FALSE),0)</f>
        <v>0</v>
      </c>
      <c r="K539" s="532">
        <v>0</v>
      </c>
      <c r="L539" s="529">
        <f>IFERROR(VLOOKUP($B539,'3.Tasks'!$BK$4:$BO$23,4,FALSE),0)</f>
        <v>0</v>
      </c>
      <c r="M539" s="532">
        <v>0</v>
      </c>
      <c r="N539" s="529">
        <f>IFERROR(VLOOKUP($B539,'3.Tasks'!$BK$4:$BO$23,5,FALSE),0)</f>
        <v>0</v>
      </c>
      <c r="O539" s="532">
        <v>0</v>
      </c>
      <c r="P539" s="530">
        <f t="shared" si="70"/>
        <v>0</v>
      </c>
    </row>
    <row r="540" spans="1:16">
      <c r="A540" s="529">
        <f t="shared" si="72"/>
        <v>17</v>
      </c>
      <c r="B540" s="529" t="s">
        <v>836</v>
      </c>
      <c r="C540" s="529" t="s">
        <v>36</v>
      </c>
      <c r="D540" s="529" t="str">
        <f>VLOOKUP(A540,Tabela8[[No.]:[Institution**]],9,FALSE)</f>
        <v>FCiências.ID</v>
      </c>
      <c r="E540" s="531" t="s">
        <v>41</v>
      </c>
      <c r="F540" s="529">
        <f>HLOOKUP(C540,'5.Equipments'!$AJ$2:$BC$22,(A540+1),FALSE)</f>
        <v>0</v>
      </c>
      <c r="G540" s="526">
        <f t="shared" si="69"/>
        <v>0</v>
      </c>
      <c r="H540" s="525">
        <f>IFERROR(VLOOKUP($B540,'3.Tasks'!$BK$4:$BO$23,2,FALSE),0)</f>
        <v>0</v>
      </c>
      <c r="I540" s="529">
        <f t="shared" si="71"/>
        <v>0</v>
      </c>
      <c r="J540" s="529">
        <f>IFERROR(VLOOKUP($B540,'3.Tasks'!$BK$4:$BO$23,3,FALSE),0)</f>
        <v>0</v>
      </c>
      <c r="K540" s="532">
        <v>0</v>
      </c>
      <c r="L540" s="529">
        <f>IFERROR(VLOOKUP($B540,'3.Tasks'!$BK$4:$BO$23,4,FALSE),0)</f>
        <v>0</v>
      </c>
      <c r="M540" s="532">
        <v>0</v>
      </c>
      <c r="N540" s="529">
        <f>IFERROR(VLOOKUP($B540,'3.Tasks'!$BK$4:$BO$23,5,FALSE),0)</f>
        <v>0</v>
      </c>
      <c r="O540" s="532">
        <v>0</v>
      </c>
      <c r="P540" s="530">
        <f t="shared" si="70"/>
        <v>0</v>
      </c>
    </row>
    <row r="541" spans="1:16">
      <c r="A541" s="529">
        <f t="shared" si="72"/>
        <v>17</v>
      </c>
      <c r="B541" s="529" t="s">
        <v>837</v>
      </c>
      <c r="C541" s="529" t="s">
        <v>37</v>
      </c>
      <c r="D541" s="529" t="str">
        <f>VLOOKUP(A541,Tabela8[[No.]:[Institution**]],9,FALSE)</f>
        <v>FCiências.ID</v>
      </c>
      <c r="E541" s="531" t="s">
        <v>41</v>
      </c>
      <c r="F541" s="529">
        <f>HLOOKUP(C541,'5.Equipments'!$AJ$2:$BC$22,(A541+1),FALSE)</f>
        <v>0</v>
      </c>
      <c r="G541" s="526">
        <f t="shared" si="69"/>
        <v>0</v>
      </c>
      <c r="H541" s="525">
        <f>IFERROR(VLOOKUP($B541,'3.Tasks'!$BK$4:$BO$23,2,FALSE),0)</f>
        <v>0</v>
      </c>
      <c r="I541" s="529">
        <f t="shared" si="71"/>
        <v>0</v>
      </c>
      <c r="J541" s="529">
        <f>IFERROR(VLOOKUP($B541,'3.Tasks'!$BK$4:$BO$23,3,FALSE),0)</f>
        <v>0</v>
      </c>
      <c r="K541" s="532">
        <v>0</v>
      </c>
      <c r="L541" s="529">
        <f>IFERROR(VLOOKUP($B541,'3.Tasks'!$BK$4:$BO$23,4,FALSE),0)</f>
        <v>0</v>
      </c>
      <c r="M541" s="532">
        <v>0</v>
      </c>
      <c r="N541" s="529">
        <f>IFERROR(VLOOKUP($B541,'3.Tasks'!$BK$4:$BO$23,5,FALSE),0)</f>
        <v>0</v>
      </c>
      <c r="O541" s="532">
        <v>0</v>
      </c>
      <c r="P541" s="530">
        <f t="shared" si="70"/>
        <v>0</v>
      </c>
    </row>
    <row r="542" spans="1:16">
      <c r="A542" s="529">
        <v>18</v>
      </c>
      <c r="B542" s="529" t="s">
        <v>818</v>
      </c>
      <c r="C542" s="529" t="s">
        <v>18</v>
      </c>
      <c r="D542" s="529" t="str">
        <f>VLOOKUP(A542,Tabela8[[No.]:[Institution**]],9,FALSE)</f>
        <v>FCiências.ID</v>
      </c>
      <c r="E542" s="531" t="s">
        <v>41</v>
      </c>
      <c r="F542" s="529">
        <f>HLOOKUP(C542,'5.Equipments'!$AJ$2:$BC$22,(A542+1),FALSE)</f>
        <v>0</v>
      </c>
      <c r="G542" s="526">
        <f t="shared" si="69"/>
        <v>0</v>
      </c>
      <c r="H542" s="525">
        <f>IFERROR(VLOOKUP($B542,'3.Tasks'!$BK$4:$BO$23,2,FALSE),0)</f>
        <v>0</v>
      </c>
      <c r="I542" s="529">
        <f t="shared" si="71"/>
        <v>0</v>
      </c>
      <c r="J542" s="529">
        <f>IFERROR(VLOOKUP($B542,'3.Tasks'!$BK$4:$BO$23,3,FALSE),0)</f>
        <v>0</v>
      </c>
      <c r="K542" s="532">
        <v>0</v>
      </c>
      <c r="L542" s="529">
        <f>IFERROR(VLOOKUP($B542,'3.Tasks'!$BK$4:$BO$23,4,FALSE),0)</f>
        <v>0</v>
      </c>
      <c r="M542" s="532">
        <v>0</v>
      </c>
      <c r="N542" s="529">
        <f>IFERROR(VLOOKUP($B542,'3.Tasks'!$BK$4:$BO$23,5,FALSE),0)</f>
        <v>0</v>
      </c>
      <c r="O542" s="532">
        <v>0</v>
      </c>
      <c r="P542" s="530">
        <f t="shared" si="70"/>
        <v>0</v>
      </c>
    </row>
    <row r="543" spans="1:16">
      <c r="A543" s="529">
        <f>+A542</f>
        <v>18</v>
      </c>
      <c r="B543" s="529" t="s">
        <v>819</v>
      </c>
      <c r="C543" s="529" t="s">
        <v>19</v>
      </c>
      <c r="D543" s="529" t="str">
        <f>VLOOKUP(A543,Tabela8[[No.]:[Institution**]],9,FALSE)</f>
        <v>FCiências.ID</v>
      </c>
      <c r="E543" s="531" t="s">
        <v>41</v>
      </c>
      <c r="F543" s="529">
        <f>HLOOKUP(C543,'5.Equipments'!$AJ$2:$BC$22,(A543+1),FALSE)</f>
        <v>0</v>
      </c>
      <c r="G543" s="526">
        <f t="shared" si="69"/>
        <v>0</v>
      </c>
      <c r="H543" s="525">
        <f>IFERROR(VLOOKUP($B543,'3.Tasks'!$BK$4:$BO$23,2,FALSE),0)</f>
        <v>0</v>
      </c>
      <c r="I543" s="529">
        <f t="shared" si="71"/>
        <v>0</v>
      </c>
      <c r="J543" s="529">
        <f>IFERROR(VLOOKUP($B543,'3.Tasks'!$BK$4:$BO$23,3,FALSE),0)</f>
        <v>0</v>
      </c>
      <c r="K543" s="532">
        <v>0</v>
      </c>
      <c r="L543" s="529">
        <f>IFERROR(VLOOKUP($B543,'3.Tasks'!$BK$4:$BO$23,4,FALSE),0)</f>
        <v>0</v>
      </c>
      <c r="M543" s="532">
        <v>0</v>
      </c>
      <c r="N543" s="529">
        <f>IFERROR(VLOOKUP($B543,'3.Tasks'!$BK$4:$BO$23,5,FALSE),0)</f>
        <v>0</v>
      </c>
      <c r="O543" s="532">
        <v>0</v>
      </c>
      <c r="P543" s="530">
        <f t="shared" si="70"/>
        <v>0</v>
      </c>
    </row>
    <row r="544" spans="1:16">
      <c r="A544" s="529">
        <f t="shared" ref="A544:A561" si="73">+A543</f>
        <v>18</v>
      </c>
      <c r="B544" s="529" t="s">
        <v>820</v>
      </c>
      <c r="C544" s="529" t="s">
        <v>20</v>
      </c>
      <c r="D544" s="529" t="str">
        <f>VLOOKUP(A544,Tabela8[[No.]:[Institution**]],9,FALSE)</f>
        <v>FCiências.ID</v>
      </c>
      <c r="E544" s="531" t="s">
        <v>41</v>
      </c>
      <c r="F544" s="529">
        <f>HLOOKUP(C544,'5.Equipments'!$AJ$2:$BC$22,(A544+1),FALSE)</f>
        <v>0</v>
      </c>
      <c r="G544" s="526">
        <f t="shared" si="69"/>
        <v>0</v>
      </c>
      <c r="H544" s="525">
        <f>IFERROR(VLOOKUP($B544,'3.Tasks'!$BK$4:$BO$23,2,FALSE),0)</f>
        <v>0</v>
      </c>
      <c r="I544" s="529">
        <f t="shared" si="71"/>
        <v>0</v>
      </c>
      <c r="J544" s="529">
        <f>IFERROR(VLOOKUP($B544,'3.Tasks'!$BK$4:$BO$23,3,FALSE),0)</f>
        <v>0</v>
      </c>
      <c r="K544" s="532">
        <v>0</v>
      </c>
      <c r="L544" s="529">
        <f>IFERROR(VLOOKUP($B544,'3.Tasks'!$BK$4:$BO$23,4,FALSE),0)</f>
        <v>0</v>
      </c>
      <c r="M544" s="532">
        <v>0</v>
      </c>
      <c r="N544" s="529">
        <f>IFERROR(VLOOKUP($B544,'3.Tasks'!$BK$4:$BO$23,5,FALSE),0)</f>
        <v>0</v>
      </c>
      <c r="O544" s="532">
        <v>0</v>
      </c>
      <c r="P544" s="530">
        <f t="shared" si="70"/>
        <v>0</v>
      </c>
    </row>
    <row r="545" spans="1:16">
      <c r="A545" s="529">
        <f t="shared" si="73"/>
        <v>18</v>
      </c>
      <c r="B545" s="529" t="s">
        <v>821</v>
      </c>
      <c r="C545" s="529" t="s">
        <v>21</v>
      </c>
      <c r="D545" s="529" t="str">
        <f>VLOOKUP(A545,Tabela8[[No.]:[Institution**]],9,FALSE)</f>
        <v>FCiências.ID</v>
      </c>
      <c r="E545" s="531" t="s">
        <v>41</v>
      </c>
      <c r="F545" s="529">
        <f>HLOOKUP(C545,'5.Equipments'!$AJ$2:$BC$22,(A545+1),FALSE)</f>
        <v>0</v>
      </c>
      <c r="G545" s="526">
        <f t="shared" si="69"/>
        <v>0</v>
      </c>
      <c r="H545" s="525">
        <f>IFERROR(VLOOKUP($B545,'3.Tasks'!$BK$4:$BO$23,2,FALSE),0)</f>
        <v>0</v>
      </c>
      <c r="I545" s="529">
        <f t="shared" si="71"/>
        <v>0</v>
      </c>
      <c r="J545" s="529">
        <f>IFERROR(VLOOKUP($B545,'3.Tasks'!$BK$4:$BO$23,3,FALSE),0)</f>
        <v>0</v>
      </c>
      <c r="K545" s="532">
        <v>0</v>
      </c>
      <c r="L545" s="529">
        <f>IFERROR(VLOOKUP($B545,'3.Tasks'!$BK$4:$BO$23,4,FALSE),0)</f>
        <v>0</v>
      </c>
      <c r="M545" s="532">
        <v>0</v>
      </c>
      <c r="N545" s="529">
        <f>IFERROR(VLOOKUP($B545,'3.Tasks'!$BK$4:$BO$23,5,FALSE),0)</f>
        <v>0</v>
      </c>
      <c r="O545" s="532">
        <v>0</v>
      </c>
      <c r="P545" s="530">
        <f t="shared" si="70"/>
        <v>0</v>
      </c>
    </row>
    <row r="546" spans="1:16">
      <c r="A546" s="529">
        <f t="shared" si="73"/>
        <v>18</v>
      </c>
      <c r="B546" s="529" t="s">
        <v>822</v>
      </c>
      <c r="C546" s="529" t="s">
        <v>22</v>
      </c>
      <c r="D546" s="529" t="str">
        <f>VLOOKUP(A546,Tabela8[[No.]:[Institution**]],9,FALSE)</f>
        <v>FCiências.ID</v>
      </c>
      <c r="E546" s="531" t="s">
        <v>41</v>
      </c>
      <c r="F546" s="529">
        <f>HLOOKUP(C546,'5.Equipments'!$AJ$2:$BC$22,(A546+1),FALSE)</f>
        <v>0</v>
      </c>
      <c r="G546" s="526">
        <f t="shared" si="69"/>
        <v>0</v>
      </c>
      <c r="H546" s="525">
        <f>IFERROR(VLOOKUP($B546,'3.Tasks'!$BK$4:$BO$23,2,FALSE),0)</f>
        <v>0</v>
      </c>
      <c r="I546" s="529">
        <f t="shared" si="71"/>
        <v>0</v>
      </c>
      <c r="J546" s="529">
        <f>IFERROR(VLOOKUP($B546,'3.Tasks'!$BK$4:$BO$23,3,FALSE),0)</f>
        <v>0</v>
      </c>
      <c r="K546" s="532">
        <v>0</v>
      </c>
      <c r="L546" s="529">
        <f>IFERROR(VLOOKUP($B546,'3.Tasks'!$BK$4:$BO$23,4,FALSE),0)</f>
        <v>0</v>
      </c>
      <c r="M546" s="532">
        <v>0</v>
      </c>
      <c r="N546" s="529">
        <f>IFERROR(VLOOKUP($B546,'3.Tasks'!$BK$4:$BO$23,5,FALSE),0)</f>
        <v>0</v>
      </c>
      <c r="O546" s="532">
        <v>0</v>
      </c>
      <c r="P546" s="530">
        <f t="shared" si="70"/>
        <v>0</v>
      </c>
    </row>
    <row r="547" spans="1:16">
      <c r="A547" s="529">
        <f t="shared" si="73"/>
        <v>18</v>
      </c>
      <c r="B547" s="529" t="s">
        <v>823</v>
      </c>
      <c r="C547" s="529" t="s">
        <v>23</v>
      </c>
      <c r="D547" s="529" t="str">
        <f>VLOOKUP(A547,Tabela8[[No.]:[Institution**]],9,FALSE)</f>
        <v>FCiências.ID</v>
      </c>
      <c r="E547" s="531" t="s">
        <v>41</v>
      </c>
      <c r="F547" s="529">
        <f>HLOOKUP(C547,'5.Equipments'!$AJ$2:$BC$22,(A547+1),FALSE)</f>
        <v>0</v>
      </c>
      <c r="G547" s="526">
        <f t="shared" si="69"/>
        <v>0</v>
      </c>
      <c r="H547" s="525">
        <f>IFERROR(VLOOKUP($B547,'3.Tasks'!$BK$4:$BO$23,2,FALSE),0)</f>
        <v>0</v>
      </c>
      <c r="I547" s="529">
        <f t="shared" si="71"/>
        <v>0</v>
      </c>
      <c r="J547" s="529">
        <f>IFERROR(VLOOKUP($B547,'3.Tasks'!$BK$4:$BO$23,3,FALSE),0)</f>
        <v>0</v>
      </c>
      <c r="K547" s="532">
        <v>0</v>
      </c>
      <c r="L547" s="529">
        <f>IFERROR(VLOOKUP($B547,'3.Tasks'!$BK$4:$BO$23,4,FALSE),0)</f>
        <v>0</v>
      </c>
      <c r="M547" s="532">
        <v>0</v>
      </c>
      <c r="N547" s="529">
        <f>IFERROR(VLOOKUP($B547,'3.Tasks'!$BK$4:$BO$23,5,FALSE),0)</f>
        <v>0</v>
      </c>
      <c r="O547" s="532">
        <v>0</v>
      </c>
      <c r="P547" s="530">
        <f t="shared" si="70"/>
        <v>0</v>
      </c>
    </row>
    <row r="548" spans="1:16">
      <c r="A548" s="529">
        <f t="shared" si="73"/>
        <v>18</v>
      </c>
      <c r="B548" s="529" t="s">
        <v>824</v>
      </c>
      <c r="C548" s="529" t="s">
        <v>24</v>
      </c>
      <c r="D548" s="529" t="str">
        <f>VLOOKUP(A548,Tabela8[[No.]:[Institution**]],9,FALSE)</f>
        <v>FCiências.ID</v>
      </c>
      <c r="E548" s="531" t="s">
        <v>41</v>
      </c>
      <c r="F548" s="529">
        <f>HLOOKUP(C548,'5.Equipments'!$AJ$2:$BC$22,(A548+1),FALSE)</f>
        <v>0</v>
      </c>
      <c r="G548" s="526">
        <f t="shared" si="69"/>
        <v>0</v>
      </c>
      <c r="H548" s="525">
        <f>IFERROR(VLOOKUP($B548,'3.Tasks'!$BK$4:$BO$23,2,FALSE),0)</f>
        <v>0</v>
      </c>
      <c r="I548" s="529">
        <f t="shared" si="71"/>
        <v>0</v>
      </c>
      <c r="J548" s="529">
        <f>IFERROR(VLOOKUP($B548,'3.Tasks'!$BK$4:$BO$23,3,FALSE),0)</f>
        <v>0</v>
      </c>
      <c r="K548" s="532">
        <v>0</v>
      </c>
      <c r="L548" s="529">
        <f>IFERROR(VLOOKUP($B548,'3.Tasks'!$BK$4:$BO$23,4,FALSE),0)</f>
        <v>0</v>
      </c>
      <c r="M548" s="532">
        <v>0</v>
      </c>
      <c r="N548" s="529">
        <f>IFERROR(VLOOKUP($B548,'3.Tasks'!$BK$4:$BO$23,5,FALSE),0)</f>
        <v>0</v>
      </c>
      <c r="O548" s="532">
        <v>0</v>
      </c>
      <c r="P548" s="530">
        <f t="shared" si="70"/>
        <v>0</v>
      </c>
    </row>
    <row r="549" spans="1:16">
      <c r="A549" s="529">
        <f t="shared" si="73"/>
        <v>18</v>
      </c>
      <c r="B549" s="529" t="s">
        <v>825</v>
      </c>
      <c r="C549" s="529" t="s">
        <v>25</v>
      </c>
      <c r="D549" s="529" t="str">
        <f>VLOOKUP(A549,Tabela8[[No.]:[Institution**]],9,FALSE)</f>
        <v>FCiências.ID</v>
      </c>
      <c r="E549" s="531" t="s">
        <v>41</v>
      </c>
      <c r="F549" s="529">
        <f>HLOOKUP(C549,'5.Equipments'!$AJ$2:$BC$22,(A549+1),FALSE)</f>
        <v>0</v>
      </c>
      <c r="G549" s="526">
        <f t="shared" si="69"/>
        <v>0</v>
      </c>
      <c r="H549" s="525">
        <f>IFERROR(VLOOKUP($B549,'3.Tasks'!$BK$4:$BO$23,2,FALSE),0)</f>
        <v>0</v>
      </c>
      <c r="I549" s="529">
        <f t="shared" si="71"/>
        <v>0</v>
      </c>
      <c r="J549" s="529">
        <f>IFERROR(VLOOKUP($B549,'3.Tasks'!$BK$4:$BO$23,3,FALSE),0)</f>
        <v>0</v>
      </c>
      <c r="K549" s="532">
        <v>0</v>
      </c>
      <c r="L549" s="529">
        <f>IFERROR(VLOOKUP($B549,'3.Tasks'!$BK$4:$BO$23,4,FALSE),0)</f>
        <v>0</v>
      </c>
      <c r="M549" s="532">
        <v>0</v>
      </c>
      <c r="N549" s="529">
        <f>IFERROR(VLOOKUP($B549,'3.Tasks'!$BK$4:$BO$23,5,FALSE),0)</f>
        <v>0</v>
      </c>
      <c r="O549" s="532">
        <v>0</v>
      </c>
      <c r="P549" s="530">
        <f t="shared" si="70"/>
        <v>0</v>
      </c>
    </row>
    <row r="550" spans="1:16">
      <c r="A550" s="529">
        <f t="shared" si="73"/>
        <v>18</v>
      </c>
      <c r="B550" s="529" t="s">
        <v>826</v>
      </c>
      <c r="C550" s="529" t="s">
        <v>26</v>
      </c>
      <c r="D550" s="529" t="str">
        <f>VLOOKUP(A550,Tabela8[[No.]:[Institution**]],9,FALSE)</f>
        <v>FCiências.ID</v>
      </c>
      <c r="E550" s="531" t="s">
        <v>41</v>
      </c>
      <c r="F550" s="529">
        <f>HLOOKUP(C550,'5.Equipments'!$AJ$2:$BC$22,(A550+1),FALSE)</f>
        <v>0</v>
      </c>
      <c r="G550" s="526">
        <f t="shared" si="69"/>
        <v>0</v>
      </c>
      <c r="H550" s="525">
        <f>IFERROR(VLOOKUP($B550,'3.Tasks'!$BK$4:$BO$23,2,FALSE),0)</f>
        <v>0</v>
      </c>
      <c r="I550" s="529">
        <f t="shared" si="71"/>
        <v>0</v>
      </c>
      <c r="J550" s="529">
        <f>IFERROR(VLOOKUP($B550,'3.Tasks'!$BK$4:$BO$23,3,FALSE),0)</f>
        <v>0</v>
      </c>
      <c r="K550" s="532">
        <v>0</v>
      </c>
      <c r="L550" s="529">
        <f>IFERROR(VLOOKUP($B550,'3.Tasks'!$BK$4:$BO$23,4,FALSE),0)</f>
        <v>0</v>
      </c>
      <c r="M550" s="532">
        <v>0</v>
      </c>
      <c r="N550" s="529">
        <f>IFERROR(VLOOKUP($B550,'3.Tasks'!$BK$4:$BO$23,5,FALSE),0)</f>
        <v>0</v>
      </c>
      <c r="O550" s="532">
        <v>0</v>
      </c>
      <c r="P550" s="530">
        <f t="shared" si="70"/>
        <v>0</v>
      </c>
    </row>
    <row r="551" spans="1:16">
      <c r="A551" s="529">
        <f t="shared" si="73"/>
        <v>18</v>
      </c>
      <c r="B551" s="529" t="s">
        <v>827</v>
      </c>
      <c r="C551" s="529" t="s">
        <v>27</v>
      </c>
      <c r="D551" s="529" t="str">
        <f>VLOOKUP(A551,Tabela8[[No.]:[Institution**]],9,FALSE)</f>
        <v>FCiências.ID</v>
      </c>
      <c r="E551" s="531" t="s">
        <v>41</v>
      </c>
      <c r="F551" s="529">
        <f>HLOOKUP(C551,'5.Equipments'!$AJ$2:$BC$22,(A551+1),FALSE)</f>
        <v>0</v>
      </c>
      <c r="G551" s="526">
        <f t="shared" si="69"/>
        <v>0</v>
      </c>
      <c r="H551" s="525">
        <f>IFERROR(VLOOKUP($B551,'3.Tasks'!$BK$4:$BO$23,2,FALSE),0)</f>
        <v>0</v>
      </c>
      <c r="I551" s="529">
        <f t="shared" si="71"/>
        <v>0</v>
      </c>
      <c r="J551" s="529">
        <f>IFERROR(VLOOKUP($B551,'3.Tasks'!$BK$4:$BO$23,3,FALSE),0)</f>
        <v>0</v>
      </c>
      <c r="K551" s="532">
        <v>0</v>
      </c>
      <c r="L551" s="529">
        <f>IFERROR(VLOOKUP($B551,'3.Tasks'!$BK$4:$BO$23,4,FALSE),0)</f>
        <v>0</v>
      </c>
      <c r="M551" s="532">
        <v>0</v>
      </c>
      <c r="N551" s="529">
        <f>IFERROR(VLOOKUP($B551,'3.Tasks'!$BK$4:$BO$23,5,FALSE),0)</f>
        <v>0</v>
      </c>
      <c r="O551" s="532">
        <v>0</v>
      </c>
      <c r="P551" s="530">
        <f t="shared" si="70"/>
        <v>0</v>
      </c>
    </row>
    <row r="552" spans="1:16">
      <c r="A552" s="529">
        <f t="shared" si="73"/>
        <v>18</v>
      </c>
      <c r="B552" s="529" t="s">
        <v>828</v>
      </c>
      <c r="C552" s="529" t="s">
        <v>28</v>
      </c>
      <c r="D552" s="529" t="str">
        <f>VLOOKUP(A552,Tabela8[[No.]:[Institution**]],9,FALSE)</f>
        <v>FCiências.ID</v>
      </c>
      <c r="E552" s="531" t="s">
        <v>41</v>
      </c>
      <c r="F552" s="529">
        <f>HLOOKUP(C552,'5.Equipments'!$AJ$2:$BC$22,(A552+1),FALSE)</f>
        <v>0</v>
      </c>
      <c r="G552" s="526">
        <f t="shared" si="69"/>
        <v>0</v>
      </c>
      <c r="H552" s="525">
        <f>IFERROR(VLOOKUP($B552,'3.Tasks'!$BK$4:$BO$23,2,FALSE),0)</f>
        <v>0</v>
      </c>
      <c r="I552" s="529">
        <f t="shared" si="71"/>
        <v>0</v>
      </c>
      <c r="J552" s="529">
        <f>IFERROR(VLOOKUP($B552,'3.Tasks'!$BK$4:$BO$23,3,FALSE),0)</f>
        <v>0</v>
      </c>
      <c r="K552" s="532">
        <v>0</v>
      </c>
      <c r="L552" s="529">
        <f>IFERROR(VLOOKUP($B552,'3.Tasks'!$BK$4:$BO$23,4,FALSE),0)</f>
        <v>0</v>
      </c>
      <c r="M552" s="532">
        <v>0</v>
      </c>
      <c r="N552" s="529">
        <f>IFERROR(VLOOKUP($B552,'3.Tasks'!$BK$4:$BO$23,5,FALSE),0)</f>
        <v>0</v>
      </c>
      <c r="O552" s="532">
        <v>0</v>
      </c>
      <c r="P552" s="530">
        <f t="shared" si="70"/>
        <v>0</v>
      </c>
    </row>
    <row r="553" spans="1:16">
      <c r="A553" s="529">
        <f t="shared" si="73"/>
        <v>18</v>
      </c>
      <c r="B553" s="529" t="s">
        <v>829</v>
      </c>
      <c r="C553" s="529" t="s">
        <v>29</v>
      </c>
      <c r="D553" s="529" t="str">
        <f>VLOOKUP(A553,Tabela8[[No.]:[Institution**]],9,FALSE)</f>
        <v>FCiências.ID</v>
      </c>
      <c r="E553" s="531" t="s">
        <v>41</v>
      </c>
      <c r="F553" s="529">
        <f>HLOOKUP(C553,'5.Equipments'!$AJ$2:$BC$22,(A553+1),FALSE)</f>
        <v>0</v>
      </c>
      <c r="G553" s="526">
        <f t="shared" si="69"/>
        <v>0</v>
      </c>
      <c r="H553" s="525">
        <f>IFERROR(VLOOKUP($B553,'3.Tasks'!$BK$4:$BO$23,2,FALSE),0)</f>
        <v>0</v>
      </c>
      <c r="I553" s="529">
        <f t="shared" si="71"/>
        <v>0</v>
      </c>
      <c r="J553" s="529">
        <f>IFERROR(VLOOKUP($B553,'3.Tasks'!$BK$4:$BO$23,3,FALSE),0)</f>
        <v>0</v>
      </c>
      <c r="K553" s="532">
        <v>0</v>
      </c>
      <c r="L553" s="529">
        <f>IFERROR(VLOOKUP($B553,'3.Tasks'!$BK$4:$BO$23,4,FALSE),0)</f>
        <v>0</v>
      </c>
      <c r="M553" s="532">
        <v>0</v>
      </c>
      <c r="N553" s="529">
        <f>IFERROR(VLOOKUP($B553,'3.Tasks'!$BK$4:$BO$23,5,FALSE),0)</f>
        <v>0</v>
      </c>
      <c r="O553" s="532">
        <v>0</v>
      </c>
      <c r="P553" s="530">
        <f t="shared" si="70"/>
        <v>0</v>
      </c>
    </row>
    <row r="554" spans="1:16">
      <c r="A554" s="529">
        <f t="shared" si="73"/>
        <v>18</v>
      </c>
      <c r="B554" s="529" t="s">
        <v>830</v>
      </c>
      <c r="C554" s="529" t="s">
        <v>30</v>
      </c>
      <c r="D554" s="529" t="str">
        <f>VLOOKUP(A554,Tabela8[[No.]:[Institution**]],9,FALSE)</f>
        <v>FCiências.ID</v>
      </c>
      <c r="E554" s="531" t="s">
        <v>41</v>
      </c>
      <c r="F554" s="529">
        <f>HLOOKUP(C554,'5.Equipments'!$AJ$2:$BC$22,(A554+1),FALSE)</f>
        <v>0</v>
      </c>
      <c r="G554" s="526">
        <f t="shared" si="69"/>
        <v>0</v>
      </c>
      <c r="H554" s="525">
        <f>IFERROR(VLOOKUP($B554,'3.Tasks'!$BK$4:$BO$23,2,FALSE),0)</f>
        <v>0</v>
      </c>
      <c r="I554" s="529">
        <f t="shared" si="71"/>
        <v>0</v>
      </c>
      <c r="J554" s="529">
        <f>IFERROR(VLOOKUP($B554,'3.Tasks'!$BK$4:$BO$23,3,FALSE),0)</f>
        <v>0</v>
      </c>
      <c r="K554" s="532">
        <v>0</v>
      </c>
      <c r="L554" s="529">
        <f>IFERROR(VLOOKUP($B554,'3.Tasks'!$BK$4:$BO$23,4,FALSE),0)</f>
        <v>0</v>
      </c>
      <c r="M554" s="532">
        <v>0</v>
      </c>
      <c r="N554" s="529">
        <f>IFERROR(VLOOKUP($B554,'3.Tasks'!$BK$4:$BO$23,5,FALSE),0)</f>
        <v>0</v>
      </c>
      <c r="O554" s="532">
        <v>0</v>
      </c>
      <c r="P554" s="530">
        <f t="shared" si="70"/>
        <v>0</v>
      </c>
    </row>
    <row r="555" spans="1:16">
      <c r="A555" s="529">
        <f t="shared" si="73"/>
        <v>18</v>
      </c>
      <c r="B555" s="529" t="s">
        <v>831</v>
      </c>
      <c r="C555" s="529" t="s">
        <v>31</v>
      </c>
      <c r="D555" s="529" t="str">
        <f>VLOOKUP(A555,Tabela8[[No.]:[Institution**]],9,FALSE)</f>
        <v>FCiências.ID</v>
      </c>
      <c r="E555" s="531" t="s">
        <v>41</v>
      </c>
      <c r="F555" s="529">
        <f>HLOOKUP(C555,'5.Equipments'!$AJ$2:$BC$22,(A555+1),FALSE)</f>
        <v>0</v>
      </c>
      <c r="G555" s="526">
        <f t="shared" si="69"/>
        <v>0</v>
      </c>
      <c r="H555" s="525">
        <f>IFERROR(VLOOKUP($B555,'3.Tasks'!$BK$4:$BO$23,2,FALSE),0)</f>
        <v>0</v>
      </c>
      <c r="I555" s="529">
        <f t="shared" si="71"/>
        <v>0</v>
      </c>
      <c r="J555" s="529">
        <f>IFERROR(VLOOKUP($B555,'3.Tasks'!$BK$4:$BO$23,3,FALSE),0)</f>
        <v>0</v>
      </c>
      <c r="K555" s="532">
        <v>0</v>
      </c>
      <c r="L555" s="529">
        <f>IFERROR(VLOOKUP($B555,'3.Tasks'!$BK$4:$BO$23,4,FALSE),0)</f>
        <v>0</v>
      </c>
      <c r="M555" s="532">
        <v>0</v>
      </c>
      <c r="N555" s="529">
        <f>IFERROR(VLOOKUP($B555,'3.Tasks'!$BK$4:$BO$23,5,FALSE),0)</f>
        <v>0</v>
      </c>
      <c r="O555" s="532">
        <v>0</v>
      </c>
      <c r="P555" s="530">
        <f t="shared" si="70"/>
        <v>0</v>
      </c>
    </row>
    <row r="556" spans="1:16">
      <c r="A556" s="529">
        <f t="shared" si="73"/>
        <v>18</v>
      </c>
      <c r="B556" s="529" t="s">
        <v>832</v>
      </c>
      <c r="C556" s="529" t="s">
        <v>32</v>
      </c>
      <c r="D556" s="529" t="str">
        <f>VLOOKUP(A556,Tabela8[[No.]:[Institution**]],9,FALSE)</f>
        <v>FCiências.ID</v>
      </c>
      <c r="E556" s="531" t="s">
        <v>41</v>
      </c>
      <c r="F556" s="529">
        <f>HLOOKUP(C556,'5.Equipments'!$AJ$2:$BC$22,(A556+1),FALSE)</f>
        <v>0</v>
      </c>
      <c r="G556" s="526">
        <f t="shared" si="69"/>
        <v>0</v>
      </c>
      <c r="H556" s="525">
        <f>IFERROR(VLOOKUP($B556,'3.Tasks'!$BK$4:$BO$23,2,FALSE),0)</f>
        <v>0</v>
      </c>
      <c r="I556" s="529">
        <f t="shared" si="71"/>
        <v>0</v>
      </c>
      <c r="J556" s="529">
        <f>IFERROR(VLOOKUP($B556,'3.Tasks'!$BK$4:$BO$23,3,FALSE),0)</f>
        <v>0</v>
      </c>
      <c r="K556" s="532">
        <v>0</v>
      </c>
      <c r="L556" s="529">
        <f>IFERROR(VLOOKUP($B556,'3.Tasks'!$BK$4:$BO$23,4,FALSE),0)</f>
        <v>0</v>
      </c>
      <c r="M556" s="532">
        <v>0</v>
      </c>
      <c r="N556" s="529">
        <f>IFERROR(VLOOKUP($B556,'3.Tasks'!$BK$4:$BO$23,5,FALSE),0)</f>
        <v>0</v>
      </c>
      <c r="O556" s="532">
        <v>0</v>
      </c>
      <c r="P556" s="530">
        <f t="shared" si="70"/>
        <v>0</v>
      </c>
    </row>
    <row r="557" spans="1:16">
      <c r="A557" s="529">
        <f t="shared" si="73"/>
        <v>18</v>
      </c>
      <c r="B557" s="529" t="s">
        <v>833</v>
      </c>
      <c r="C557" s="529" t="s">
        <v>33</v>
      </c>
      <c r="D557" s="529" t="str">
        <f>VLOOKUP(A557,Tabela8[[No.]:[Institution**]],9,FALSE)</f>
        <v>FCiências.ID</v>
      </c>
      <c r="E557" s="531" t="s">
        <v>41</v>
      </c>
      <c r="F557" s="529">
        <f>HLOOKUP(C557,'5.Equipments'!$AJ$2:$BC$22,(A557+1),FALSE)</f>
        <v>0</v>
      </c>
      <c r="G557" s="526">
        <f t="shared" si="69"/>
        <v>0</v>
      </c>
      <c r="H557" s="525">
        <f>IFERROR(VLOOKUP($B557,'3.Tasks'!$BK$4:$BO$23,2,FALSE),0)</f>
        <v>0</v>
      </c>
      <c r="I557" s="529">
        <f t="shared" si="71"/>
        <v>0</v>
      </c>
      <c r="J557" s="529">
        <f>IFERROR(VLOOKUP($B557,'3.Tasks'!$BK$4:$BO$23,3,FALSE),0)</f>
        <v>0</v>
      </c>
      <c r="K557" s="532">
        <v>0</v>
      </c>
      <c r="L557" s="529">
        <f>IFERROR(VLOOKUP($B557,'3.Tasks'!$BK$4:$BO$23,4,FALSE),0)</f>
        <v>0</v>
      </c>
      <c r="M557" s="532">
        <v>0</v>
      </c>
      <c r="N557" s="529">
        <f>IFERROR(VLOOKUP($B557,'3.Tasks'!$BK$4:$BO$23,5,FALSE),0)</f>
        <v>0</v>
      </c>
      <c r="O557" s="532">
        <v>0</v>
      </c>
      <c r="P557" s="530">
        <f t="shared" si="70"/>
        <v>0</v>
      </c>
    </row>
    <row r="558" spans="1:16">
      <c r="A558" s="529">
        <f t="shared" si="73"/>
        <v>18</v>
      </c>
      <c r="B558" s="529" t="s">
        <v>834</v>
      </c>
      <c r="C558" s="529" t="s">
        <v>34</v>
      </c>
      <c r="D558" s="529" t="str">
        <f>VLOOKUP(A558,Tabela8[[No.]:[Institution**]],9,FALSE)</f>
        <v>FCiências.ID</v>
      </c>
      <c r="E558" s="531" t="s">
        <v>41</v>
      </c>
      <c r="F558" s="529">
        <f>HLOOKUP(C558,'5.Equipments'!$AJ$2:$BC$22,(A558+1),FALSE)</f>
        <v>0</v>
      </c>
      <c r="G558" s="526">
        <f t="shared" si="69"/>
        <v>0</v>
      </c>
      <c r="H558" s="525">
        <f>IFERROR(VLOOKUP($B558,'3.Tasks'!$BK$4:$BO$23,2,FALSE),0)</f>
        <v>0</v>
      </c>
      <c r="I558" s="529">
        <f t="shared" si="71"/>
        <v>0</v>
      </c>
      <c r="J558" s="529">
        <f>IFERROR(VLOOKUP($B558,'3.Tasks'!$BK$4:$BO$23,3,FALSE),0)</f>
        <v>0</v>
      </c>
      <c r="K558" s="532">
        <v>0</v>
      </c>
      <c r="L558" s="529">
        <f>IFERROR(VLOOKUP($B558,'3.Tasks'!$BK$4:$BO$23,4,FALSE),0)</f>
        <v>0</v>
      </c>
      <c r="M558" s="532">
        <v>0</v>
      </c>
      <c r="N558" s="529">
        <f>IFERROR(VLOOKUP($B558,'3.Tasks'!$BK$4:$BO$23,5,FALSE),0)</f>
        <v>0</v>
      </c>
      <c r="O558" s="532">
        <v>0</v>
      </c>
      <c r="P558" s="530">
        <f t="shared" si="70"/>
        <v>0</v>
      </c>
    </row>
    <row r="559" spans="1:16">
      <c r="A559" s="529">
        <f t="shared" si="73"/>
        <v>18</v>
      </c>
      <c r="B559" s="529" t="s">
        <v>835</v>
      </c>
      <c r="C559" s="529" t="s">
        <v>35</v>
      </c>
      <c r="D559" s="529" t="str">
        <f>VLOOKUP(A559,Tabela8[[No.]:[Institution**]],9,FALSE)</f>
        <v>FCiências.ID</v>
      </c>
      <c r="E559" s="531" t="s">
        <v>41</v>
      </c>
      <c r="F559" s="529">
        <f>HLOOKUP(C559,'5.Equipments'!$AJ$2:$BC$22,(A559+1),FALSE)</f>
        <v>0</v>
      </c>
      <c r="G559" s="526">
        <f t="shared" si="69"/>
        <v>0</v>
      </c>
      <c r="H559" s="525">
        <f>IFERROR(VLOOKUP($B559,'3.Tasks'!$BK$4:$BO$23,2,FALSE),0)</f>
        <v>0</v>
      </c>
      <c r="I559" s="529">
        <f t="shared" si="71"/>
        <v>0</v>
      </c>
      <c r="J559" s="529">
        <f>IFERROR(VLOOKUP($B559,'3.Tasks'!$BK$4:$BO$23,3,FALSE),0)</f>
        <v>0</v>
      </c>
      <c r="K559" s="532">
        <v>0</v>
      </c>
      <c r="L559" s="529">
        <f>IFERROR(VLOOKUP($B559,'3.Tasks'!$BK$4:$BO$23,4,FALSE),0)</f>
        <v>0</v>
      </c>
      <c r="M559" s="532">
        <v>0</v>
      </c>
      <c r="N559" s="529">
        <f>IFERROR(VLOOKUP($B559,'3.Tasks'!$BK$4:$BO$23,5,FALSE),0)</f>
        <v>0</v>
      </c>
      <c r="O559" s="532">
        <v>0</v>
      </c>
      <c r="P559" s="530">
        <f t="shared" si="70"/>
        <v>0</v>
      </c>
    </row>
    <row r="560" spans="1:16">
      <c r="A560" s="529">
        <f t="shared" si="73"/>
        <v>18</v>
      </c>
      <c r="B560" s="529" t="s">
        <v>836</v>
      </c>
      <c r="C560" s="529" t="s">
        <v>36</v>
      </c>
      <c r="D560" s="529" t="str">
        <f>VLOOKUP(A560,Tabela8[[No.]:[Institution**]],9,FALSE)</f>
        <v>FCiências.ID</v>
      </c>
      <c r="E560" s="531" t="s">
        <v>41</v>
      </c>
      <c r="F560" s="529">
        <f>HLOOKUP(C560,'5.Equipments'!$AJ$2:$BC$22,(A560+1),FALSE)</f>
        <v>0</v>
      </c>
      <c r="G560" s="526">
        <f t="shared" si="69"/>
        <v>0</v>
      </c>
      <c r="H560" s="525">
        <f>IFERROR(VLOOKUP($B560,'3.Tasks'!$BK$4:$BO$23,2,FALSE),0)</f>
        <v>0</v>
      </c>
      <c r="I560" s="529">
        <f t="shared" si="71"/>
        <v>0</v>
      </c>
      <c r="J560" s="529">
        <f>IFERROR(VLOOKUP($B560,'3.Tasks'!$BK$4:$BO$23,3,FALSE),0)</f>
        <v>0</v>
      </c>
      <c r="K560" s="532">
        <v>0</v>
      </c>
      <c r="L560" s="529">
        <f>IFERROR(VLOOKUP($B560,'3.Tasks'!$BK$4:$BO$23,4,FALSE),0)</f>
        <v>0</v>
      </c>
      <c r="M560" s="532">
        <v>0</v>
      </c>
      <c r="N560" s="529">
        <f>IFERROR(VLOOKUP($B560,'3.Tasks'!$BK$4:$BO$23,5,FALSE),0)</f>
        <v>0</v>
      </c>
      <c r="O560" s="532">
        <v>0</v>
      </c>
      <c r="P560" s="530">
        <f t="shared" si="70"/>
        <v>0</v>
      </c>
    </row>
    <row r="561" spans="1:16">
      <c r="A561" s="529">
        <f t="shared" si="73"/>
        <v>18</v>
      </c>
      <c r="B561" s="529" t="s">
        <v>837</v>
      </c>
      <c r="C561" s="529" t="s">
        <v>37</v>
      </c>
      <c r="D561" s="529" t="str">
        <f>VLOOKUP(A561,Tabela8[[No.]:[Institution**]],9,FALSE)</f>
        <v>FCiências.ID</v>
      </c>
      <c r="E561" s="531" t="s">
        <v>41</v>
      </c>
      <c r="F561" s="529">
        <f>HLOOKUP(C561,'5.Equipments'!$AJ$2:$BC$22,(A561+1),FALSE)</f>
        <v>0</v>
      </c>
      <c r="G561" s="526">
        <f t="shared" si="69"/>
        <v>0</v>
      </c>
      <c r="H561" s="525">
        <f>IFERROR(VLOOKUP($B561,'3.Tasks'!$BK$4:$BO$23,2,FALSE),0)</f>
        <v>0</v>
      </c>
      <c r="I561" s="529">
        <f t="shared" si="71"/>
        <v>0</v>
      </c>
      <c r="J561" s="529">
        <f>IFERROR(VLOOKUP($B561,'3.Tasks'!$BK$4:$BO$23,3,FALSE),0)</f>
        <v>0</v>
      </c>
      <c r="K561" s="532">
        <v>0</v>
      </c>
      <c r="L561" s="529">
        <f>IFERROR(VLOOKUP($B561,'3.Tasks'!$BK$4:$BO$23,4,FALSE),0)</f>
        <v>0</v>
      </c>
      <c r="M561" s="532">
        <v>0</v>
      </c>
      <c r="N561" s="529">
        <f>IFERROR(VLOOKUP($B561,'3.Tasks'!$BK$4:$BO$23,5,FALSE),0)</f>
        <v>0</v>
      </c>
      <c r="O561" s="532">
        <v>0</v>
      </c>
      <c r="P561" s="530">
        <f t="shared" si="70"/>
        <v>0</v>
      </c>
    </row>
    <row r="562" spans="1:16">
      <c r="A562" s="529">
        <v>19</v>
      </c>
      <c r="B562" s="529" t="s">
        <v>818</v>
      </c>
      <c r="C562" s="529" t="s">
        <v>18</v>
      </c>
      <c r="D562" s="529" t="str">
        <f>VLOOKUP(A562,Tabela8[[No.]:[Institution**]],9,FALSE)</f>
        <v>FCiências.ID</v>
      </c>
      <c r="E562" s="531" t="s">
        <v>41</v>
      </c>
      <c r="F562" s="529">
        <f>HLOOKUP(C562,'5.Equipments'!$AJ$2:$BC$22,(A562+1),FALSE)</f>
        <v>0</v>
      </c>
      <c r="G562" s="526">
        <f t="shared" si="69"/>
        <v>0</v>
      </c>
      <c r="H562" s="525">
        <f>IFERROR(VLOOKUP($B562,'3.Tasks'!$BK$4:$BO$23,2,FALSE),0)</f>
        <v>0</v>
      </c>
      <c r="I562" s="529">
        <f t="shared" si="71"/>
        <v>0</v>
      </c>
      <c r="J562" s="529">
        <f>IFERROR(VLOOKUP($B562,'3.Tasks'!$BK$4:$BO$23,3,FALSE),0)</f>
        <v>0</v>
      </c>
      <c r="K562" s="532">
        <v>0</v>
      </c>
      <c r="L562" s="529">
        <f>IFERROR(VLOOKUP($B562,'3.Tasks'!$BK$4:$BO$23,4,FALSE),0)</f>
        <v>0</v>
      </c>
      <c r="M562" s="532">
        <v>0</v>
      </c>
      <c r="N562" s="529">
        <f>IFERROR(VLOOKUP($B562,'3.Tasks'!$BK$4:$BO$23,5,FALSE),0)</f>
        <v>0</v>
      </c>
      <c r="O562" s="532">
        <v>0</v>
      </c>
      <c r="P562" s="530">
        <f t="shared" si="70"/>
        <v>0</v>
      </c>
    </row>
    <row r="563" spans="1:16">
      <c r="A563" s="529">
        <f>+A562</f>
        <v>19</v>
      </c>
      <c r="B563" s="529" t="s">
        <v>819</v>
      </c>
      <c r="C563" s="529" t="s">
        <v>19</v>
      </c>
      <c r="D563" s="529" t="str">
        <f>VLOOKUP(A563,Tabela8[[No.]:[Institution**]],9,FALSE)</f>
        <v>FCiências.ID</v>
      </c>
      <c r="E563" s="531" t="s">
        <v>41</v>
      </c>
      <c r="F563" s="529">
        <f>HLOOKUP(C563,'5.Equipments'!$AJ$2:$BC$22,(A563+1),FALSE)</f>
        <v>0</v>
      </c>
      <c r="G563" s="526">
        <f t="shared" si="69"/>
        <v>0</v>
      </c>
      <c r="H563" s="525">
        <f>IFERROR(VLOOKUP($B563,'3.Tasks'!$BK$4:$BO$23,2,FALSE),0)</f>
        <v>0</v>
      </c>
      <c r="I563" s="529">
        <f t="shared" si="71"/>
        <v>0</v>
      </c>
      <c r="J563" s="529">
        <f>IFERROR(VLOOKUP($B563,'3.Tasks'!$BK$4:$BO$23,3,FALSE),0)</f>
        <v>0</v>
      </c>
      <c r="K563" s="532">
        <v>0</v>
      </c>
      <c r="L563" s="529">
        <f>IFERROR(VLOOKUP($B563,'3.Tasks'!$BK$4:$BO$23,4,FALSE),0)</f>
        <v>0</v>
      </c>
      <c r="M563" s="532">
        <v>0</v>
      </c>
      <c r="N563" s="529">
        <f>IFERROR(VLOOKUP($B563,'3.Tasks'!$BK$4:$BO$23,5,FALSE),0)</f>
        <v>0</v>
      </c>
      <c r="O563" s="532">
        <v>0</v>
      </c>
      <c r="P563" s="530">
        <f t="shared" si="70"/>
        <v>0</v>
      </c>
    </row>
    <row r="564" spans="1:16">
      <c r="A564" s="529">
        <f t="shared" ref="A564:A581" si="74">+A563</f>
        <v>19</v>
      </c>
      <c r="B564" s="529" t="s">
        <v>820</v>
      </c>
      <c r="C564" s="529" t="s">
        <v>20</v>
      </c>
      <c r="D564" s="529" t="str">
        <f>VLOOKUP(A564,Tabela8[[No.]:[Institution**]],9,FALSE)</f>
        <v>FCiências.ID</v>
      </c>
      <c r="E564" s="531" t="s">
        <v>41</v>
      </c>
      <c r="F564" s="529">
        <f>HLOOKUP(C564,'5.Equipments'!$AJ$2:$BC$22,(A564+1),FALSE)</f>
        <v>0</v>
      </c>
      <c r="G564" s="526">
        <f t="shared" si="69"/>
        <v>0</v>
      </c>
      <c r="H564" s="525">
        <f>IFERROR(VLOOKUP($B564,'3.Tasks'!$BK$4:$BO$23,2,FALSE),0)</f>
        <v>0</v>
      </c>
      <c r="I564" s="529">
        <f t="shared" si="71"/>
        <v>0</v>
      </c>
      <c r="J564" s="529">
        <f>IFERROR(VLOOKUP($B564,'3.Tasks'!$BK$4:$BO$23,3,FALSE),0)</f>
        <v>0</v>
      </c>
      <c r="K564" s="532">
        <v>0</v>
      </c>
      <c r="L564" s="529">
        <f>IFERROR(VLOOKUP($B564,'3.Tasks'!$BK$4:$BO$23,4,FALSE),0)</f>
        <v>0</v>
      </c>
      <c r="M564" s="532">
        <v>0</v>
      </c>
      <c r="N564" s="529">
        <f>IFERROR(VLOOKUP($B564,'3.Tasks'!$BK$4:$BO$23,5,FALSE),0)</f>
        <v>0</v>
      </c>
      <c r="O564" s="532">
        <v>0</v>
      </c>
      <c r="P564" s="530">
        <f t="shared" si="70"/>
        <v>0</v>
      </c>
    </row>
    <row r="565" spans="1:16">
      <c r="A565" s="529">
        <f t="shared" si="74"/>
        <v>19</v>
      </c>
      <c r="B565" s="529" t="s">
        <v>821</v>
      </c>
      <c r="C565" s="529" t="s">
        <v>21</v>
      </c>
      <c r="D565" s="529" t="str">
        <f>VLOOKUP(A565,Tabela8[[No.]:[Institution**]],9,FALSE)</f>
        <v>FCiências.ID</v>
      </c>
      <c r="E565" s="531" t="s">
        <v>41</v>
      </c>
      <c r="F565" s="529">
        <f>HLOOKUP(C565,'5.Equipments'!$AJ$2:$BC$22,(A565+1),FALSE)</f>
        <v>0</v>
      </c>
      <c r="G565" s="526">
        <f t="shared" si="69"/>
        <v>0</v>
      </c>
      <c r="H565" s="525">
        <f>IFERROR(VLOOKUP($B565,'3.Tasks'!$BK$4:$BO$23,2,FALSE),0)</f>
        <v>0</v>
      </c>
      <c r="I565" s="529">
        <f t="shared" si="71"/>
        <v>0</v>
      </c>
      <c r="J565" s="529">
        <f>IFERROR(VLOOKUP($B565,'3.Tasks'!$BK$4:$BO$23,3,FALSE),0)</f>
        <v>0</v>
      </c>
      <c r="K565" s="532">
        <v>0</v>
      </c>
      <c r="L565" s="529">
        <f>IFERROR(VLOOKUP($B565,'3.Tasks'!$BK$4:$BO$23,4,FALSE),0)</f>
        <v>0</v>
      </c>
      <c r="M565" s="532">
        <v>0</v>
      </c>
      <c r="N565" s="529">
        <f>IFERROR(VLOOKUP($B565,'3.Tasks'!$BK$4:$BO$23,5,FALSE),0)</f>
        <v>0</v>
      </c>
      <c r="O565" s="532">
        <v>0</v>
      </c>
      <c r="P565" s="530">
        <f t="shared" si="70"/>
        <v>0</v>
      </c>
    </row>
    <row r="566" spans="1:16">
      <c r="A566" s="529">
        <f t="shared" si="74"/>
        <v>19</v>
      </c>
      <c r="B566" s="529" t="s">
        <v>822</v>
      </c>
      <c r="C566" s="529" t="s">
        <v>22</v>
      </c>
      <c r="D566" s="529" t="str">
        <f>VLOOKUP(A566,Tabela8[[No.]:[Institution**]],9,FALSE)</f>
        <v>FCiências.ID</v>
      </c>
      <c r="E566" s="531" t="s">
        <v>41</v>
      </c>
      <c r="F566" s="529">
        <f>HLOOKUP(C566,'5.Equipments'!$AJ$2:$BC$22,(A566+1),FALSE)</f>
        <v>0</v>
      </c>
      <c r="G566" s="526">
        <f t="shared" si="69"/>
        <v>0</v>
      </c>
      <c r="H566" s="525">
        <f>IFERROR(VLOOKUP($B566,'3.Tasks'!$BK$4:$BO$23,2,FALSE),0)</f>
        <v>0</v>
      </c>
      <c r="I566" s="529">
        <f t="shared" si="71"/>
        <v>0</v>
      </c>
      <c r="J566" s="529">
        <f>IFERROR(VLOOKUP($B566,'3.Tasks'!$BK$4:$BO$23,3,FALSE),0)</f>
        <v>0</v>
      </c>
      <c r="K566" s="532">
        <v>0</v>
      </c>
      <c r="L566" s="529">
        <f>IFERROR(VLOOKUP($B566,'3.Tasks'!$BK$4:$BO$23,4,FALSE),0)</f>
        <v>0</v>
      </c>
      <c r="M566" s="532">
        <v>0</v>
      </c>
      <c r="N566" s="529">
        <f>IFERROR(VLOOKUP($B566,'3.Tasks'!$BK$4:$BO$23,5,FALSE),0)</f>
        <v>0</v>
      </c>
      <c r="O566" s="532">
        <v>0</v>
      </c>
      <c r="P566" s="530">
        <f t="shared" si="70"/>
        <v>0</v>
      </c>
    </row>
    <row r="567" spans="1:16">
      <c r="A567" s="529">
        <f t="shared" si="74"/>
        <v>19</v>
      </c>
      <c r="B567" s="529" t="s">
        <v>823</v>
      </c>
      <c r="C567" s="529" t="s">
        <v>23</v>
      </c>
      <c r="D567" s="529" t="str">
        <f>VLOOKUP(A567,Tabela8[[No.]:[Institution**]],9,FALSE)</f>
        <v>FCiências.ID</v>
      </c>
      <c r="E567" s="531" t="s">
        <v>41</v>
      </c>
      <c r="F567" s="529">
        <f>HLOOKUP(C567,'5.Equipments'!$AJ$2:$BC$22,(A567+1),FALSE)</f>
        <v>0</v>
      </c>
      <c r="G567" s="526">
        <f t="shared" si="69"/>
        <v>0</v>
      </c>
      <c r="H567" s="525">
        <f>IFERROR(VLOOKUP($B567,'3.Tasks'!$BK$4:$BO$23,2,FALSE),0)</f>
        <v>0</v>
      </c>
      <c r="I567" s="529">
        <f t="shared" si="71"/>
        <v>0</v>
      </c>
      <c r="J567" s="529">
        <f>IFERROR(VLOOKUP($B567,'3.Tasks'!$BK$4:$BO$23,3,FALSE),0)</f>
        <v>0</v>
      </c>
      <c r="K567" s="532">
        <v>0</v>
      </c>
      <c r="L567" s="529">
        <f>IFERROR(VLOOKUP($B567,'3.Tasks'!$BK$4:$BO$23,4,FALSE),0)</f>
        <v>0</v>
      </c>
      <c r="M567" s="532">
        <v>0</v>
      </c>
      <c r="N567" s="529">
        <f>IFERROR(VLOOKUP($B567,'3.Tasks'!$BK$4:$BO$23,5,FALSE),0)</f>
        <v>0</v>
      </c>
      <c r="O567" s="532">
        <v>0</v>
      </c>
      <c r="P567" s="530">
        <f t="shared" si="70"/>
        <v>0</v>
      </c>
    </row>
    <row r="568" spans="1:16">
      <c r="A568" s="529">
        <f t="shared" si="74"/>
        <v>19</v>
      </c>
      <c r="B568" s="529" t="s">
        <v>824</v>
      </c>
      <c r="C568" s="529" t="s">
        <v>24</v>
      </c>
      <c r="D568" s="529" t="str">
        <f>VLOOKUP(A568,Tabela8[[No.]:[Institution**]],9,FALSE)</f>
        <v>FCiências.ID</v>
      </c>
      <c r="E568" s="531" t="s">
        <v>41</v>
      </c>
      <c r="F568" s="529">
        <f>HLOOKUP(C568,'5.Equipments'!$AJ$2:$BC$22,(A568+1),FALSE)</f>
        <v>0</v>
      </c>
      <c r="G568" s="526">
        <f t="shared" si="69"/>
        <v>0</v>
      </c>
      <c r="H568" s="525">
        <f>IFERROR(VLOOKUP($B568,'3.Tasks'!$BK$4:$BO$23,2,FALSE),0)</f>
        <v>0</v>
      </c>
      <c r="I568" s="529">
        <f t="shared" si="71"/>
        <v>0</v>
      </c>
      <c r="J568" s="529">
        <f>IFERROR(VLOOKUP($B568,'3.Tasks'!$BK$4:$BO$23,3,FALSE),0)</f>
        <v>0</v>
      </c>
      <c r="K568" s="532">
        <v>0</v>
      </c>
      <c r="L568" s="529">
        <f>IFERROR(VLOOKUP($B568,'3.Tasks'!$BK$4:$BO$23,4,FALSE),0)</f>
        <v>0</v>
      </c>
      <c r="M568" s="532">
        <v>0</v>
      </c>
      <c r="N568" s="529">
        <f>IFERROR(VLOOKUP($B568,'3.Tasks'!$BK$4:$BO$23,5,FALSE),0)</f>
        <v>0</v>
      </c>
      <c r="O568" s="532">
        <v>0</v>
      </c>
      <c r="P568" s="530">
        <f t="shared" si="70"/>
        <v>0</v>
      </c>
    </row>
    <row r="569" spans="1:16">
      <c r="A569" s="529">
        <f t="shared" si="74"/>
        <v>19</v>
      </c>
      <c r="B569" s="529" t="s">
        <v>825</v>
      </c>
      <c r="C569" s="529" t="s">
        <v>25</v>
      </c>
      <c r="D569" s="529" t="str">
        <f>VLOOKUP(A569,Tabela8[[No.]:[Institution**]],9,FALSE)</f>
        <v>FCiências.ID</v>
      </c>
      <c r="E569" s="531" t="s">
        <v>41</v>
      </c>
      <c r="F569" s="529">
        <f>HLOOKUP(C569,'5.Equipments'!$AJ$2:$BC$22,(A569+1),FALSE)</f>
        <v>0</v>
      </c>
      <c r="G569" s="526">
        <f t="shared" si="69"/>
        <v>0</v>
      </c>
      <c r="H569" s="525">
        <f>IFERROR(VLOOKUP($B569,'3.Tasks'!$BK$4:$BO$23,2,FALSE),0)</f>
        <v>0</v>
      </c>
      <c r="I569" s="529">
        <f t="shared" si="71"/>
        <v>0</v>
      </c>
      <c r="J569" s="529">
        <f>IFERROR(VLOOKUP($B569,'3.Tasks'!$BK$4:$BO$23,3,FALSE),0)</f>
        <v>0</v>
      </c>
      <c r="K569" s="532">
        <v>0</v>
      </c>
      <c r="L569" s="529">
        <f>IFERROR(VLOOKUP($B569,'3.Tasks'!$BK$4:$BO$23,4,FALSE),0)</f>
        <v>0</v>
      </c>
      <c r="M569" s="532">
        <v>0</v>
      </c>
      <c r="N569" s="529">
        <f>IFERROR(VLOOKUP($B569,'3.Tasks'!$BK$4:$BO$23,5,FALSE),0)</f>
        <v>0</v>
      </c>
      <c r="O569" s="532">
        <v>0</v>
      </c>
      <c r="P569" s="530">
        <f t="shared" si="70"/>
        <v>0</v>
      </c>
    </row>
    <row r="570" spans="1:16">
      <c r="A570" s="529">
        <f t="shared" si="74"/>
        <v>19</v>
      </c>
      <c r="B570" s="529" t="s">
        <v>826</v>
      </c>
      <c r="C570" s="529" t="s">
        <v>26</v>
      </c>
      <c r="D570" s="529" t="str">
        <f>VLOOKUP(A570,Tabela8[[No.]:[Institution**]],9,FALSE)</f>
        <v>FCiências.ID</v>
      </c>
      <c r="E570" s="531" t="s">
        <v>41</v>
      </c>
      <c r="F570" s="529">
        <f>HLOOKUP(C570,'5.Equipments'!$AJ$2:$BC$22,(A570+1),FALSE)</f>
        <v>0</v>
      </c>
      <c r="G570" s="526">
        <f t="shared" si="69"/>
        <v>0</v>
      </c>
      <c r="H570" s="525">
        <f>IFERROR(VLOOKUP($B570,'3.Tasks'!$BK$4:$BO$23,2,FALSE),0)</f>
        <v>0</v>
      </c>
      <c r="I570" s="529">
        <f t="shared" si="71"/>
        <v>0</v>
      </c>
      <c r="J570" s="529">
        <f>IFERROR(VLOOKUP($B570,'3.Tasks'!$BK$4:$BO$23,3,FALSE),0)</f>
        <v>0</v>
      </c>
      <c r="K570" s="532">
        <v>0</v>
      </c>
      <c r="L570" s="529">
        <f>IFERROR(VLOOKUP($B570,'3.Tasks'!$BK$4:$BO$23,4,FALSE),0)</f>
        <v>0</v>
      </c>
      <c r="M570" s="532">
        <v>0</v>
      </c>
      <c r="N570" s="529">
        <f>IFERROR(VLOOKUP($B570,'3.Tasks'!$BK$4:$BO$23,5,FALSE),0)</f>
        <v>0</v>
      </c>
      <c r="O570" s="532">
        <v>0</v>
      </c>
      <c r="P570" s="530">
        <f t="shared" si="70"/>
        <v>0</v>
      </c>
    </row>
    <row r="571" spans="1:16">
      <c r="A571" s="529">
        <f t="shared" si="74"/>
        <v>19</v>
      </c>
      <c r="B571" s="529" t="s">
        <v>827</v>
      </c>
      <c r="C571" s="529" t="s">
        <v>27</v>
      </c>
      <c r="D571" s="529" t="str">
        <f>VLOOKUP(A571,Tabela8[[No.]:[Institution**]],9,FALSE)</f>
        <v>FCiências.ID</v>
      </c>
      <c r="E571" s="531" t="s">
        <v>41</v>
      </c>
      <c r="F571" s="529">
        <f>HLOOKUP(C571,'5.Equipments'!$AJ$2:$BC$22,(A571+1),FALSE)</f>
        <v>0</v>
      </c>
      <c r="G571" s="526">
        <f t="shared" si="69"/>
        <v>0</v>
      </c>
      <c r="H571" s="525">
        <f>IFERROR(VLOOKUP($B571,'3.Tasks'!$BK$4:$BO$23,2,FALSE),0)</f>
        <v>0</v>
      </c>
      <c r="I571" s="529">
        <f t="shared" si="71"/>
        <v>0</v>
      </c>
      <c r="J571" s="529">
        <f>IFERROR(VLOOKUP($B571,'3.Tasks'!$BK$4:$BO$23,3,FALSE),0)</f>
        <v>0</v>
      </c>
      <c r="K571" s="532">
        <v>0</v>
      </c>
      <c r="L571" s="529">
        <f>IFERROR(VLOOKUP($B571,'3.Tasks'!$BK$4:$BO$23,4,FALSE),0)</f>
        <v>0</v>
      </c>
      <c r="M571" s="532">
        <v>0</v>
      </c>
      <c r="N571" s="529">
        <f>IFERROR(VLOOKUP($B571,'3.Tasks'!$BK$4:$BO$23,5,FALSE),0)</f>
        <v>0</v>
      </c>
      <c r="O571" s="532">
        <v>0</v>
      </c>
      <c r="P571" s="530">
        <f t="shared" si="70"/>
        <v>0</v>
      </c>
    </row>
    <row r="572" spans="1:16">
      <c r="A572" s="529">
        <f t="shared" si="74"/>
        <v>19</v>
      </c>
      <c r="B572" s="529" t="s">
        <v>828</v>
      </c>
      <c r="C572" s="529" t="s">
        <v>28</v>
      </c>
      <c r="D572" s="529" t="str">
        <f>VLOOKUP(A572,Tabela8[[No.]:[Institution**]],9,FALSE)</f>
        <v>FCiências.ID</v>
      </c>
      <c r="E572" s="531" t="s">
        <v>41</v>
      </c>
      <c r="F572" s="529">
        <f>HLOOKUP(C572,'5.Equipments'!$AJ$2:$BC$22,(A572+1),FALSE)</f>
        <v>0</v>
      </c>
      <c r="G572" s="526">
        <f t="shared" si="69"/>
        <v>0</v>
      </c>
      <c r="H572" s="525">
        <f>IFERROR(VLOOKUP($B572,'3.Tasks'!$BK$4:$BO$23,2,FALSE),0)</f>
        <v>0</v>
      </c>
      <c r="I572" s="529">
        <f t="shared" si="71"/>
        <v>0</v>
      </c>
      <c r="J572" s="529">
        <f>IFERROR(VLOOKUP($B572,'3.Tasks'!$BK$4:$BO$23,3,FALSE),0)</f>
        <v>0</v>
      </c>
      <c r="K572" s="532">
        <v>0</v>
      </c>
      <c r="L572" s="529">
        <f>IFERROR(VLOOKUP($B572,'3.Tasks'!$BK$4:$BO$23,4,FALSE),0)</f>
        <v>0</v>
      </c>
      <c r="M572" s="532">
        <v>0</v>
      </c>
      <c r="N572" s="529">
        <f>IFERROR(VLOOKUP($B572,'3.Tasks'!$BK$4:$BO$23,5,FALSE),0)</f>
        <v>0</v>
      </c>
      <c r="O572" s="532">
        <v>0</v>
      </c>
      <c r="P572" s="530">
        <f t="shared" si="70"/>
        <v>0</v>
      </c>
    </row>
    <row r="573" spans="1:16">
      <c r="A573" s="529">
        <f t="shared" si="74"/>
        <v>19</v>
      </c>
      <c r="B573" s="529" t="s">
        <v>829</v>
      </c>
      <c r="C573" s="529" t="s">
        <v>29</v>
      </c>
      <c r="D573" s="529" t="str">
        <f>VLOOKUP(A573,Tabela8[[No.]:[Institution**]],9,FALSE)</f>
        <v>FCiências.ID</v>
      </c>
      <c r="E573" s="531" t="s">
        <v>41</v>
      </c>
      <c r="F573" s="529">
        <f>HLOOKUP(C573,'5.Equipments'!$AJ$2:$BC$22,(A573+1),FALSE)</f>
        <v>0</v>
      </c>
      <c r="G573" s="526">
        <f t="shared" si="69"/>
        <v>0</v>
      </c>
      <c r="H573" s="525">
        <f>IFERROR(VLOOKUP($B573,'3.Tasks'!$BK$4:$BO$23,2,FALSE),0)</f>
        <v>0</v>
      </c>
      <c r="I573" s="529">
        <f t="shared" si="71"/>
        <v>0</v>
      </c>
      <c r="J573" s="529">
        <f>IFERROR(VLOOKUP($B573,'3.Tasks'!$BK$4:$BO$23,3,FALSE),0)</f>
        <v>0</v>
      </c>
      <c r="K573" s="532">
        <v>0</v>
      </c>
      <c r="L573" s="529">
        <f>IFERROR(VLOOKUP($B573,'3.Tasks'!$BK$4:$BO$23,4,FALSE),0)</f>
        <v>0</v>
      </c>
      <c r="M573" s="532">
        <v>0</v>
      </c>
      <c r="N573" s="529">
        <f>IFERROR(VLOOKUP($B573,'3.Tasks'!$BK$4:$BO$23,5,FALSE),0)</f>
        <v>0</v>
      </c>
      <c r="O573" s="532">
        <v>0</v>
      </c>
      <c r="P573" s="530">
        <f t="shared" si="70"/>
        <v>0</v>
      </c>
    </row>
    <row r="574" spans="1:16">
      <c r="A574" s="529">
        <f t="shared" si="74"/>
        <v>19</v>
      </c>
      <c r="B574" s="529" t="s">
        <v>830</v>
      </c>
      <c r="C574" s="529" t="s">
        <v>30</v>
      </c>
      <c r="D574" s="529" t="str">
        <f>VLOOKUP(A574,Tabela8[[No.]:[Institution**]],9,FALSE)</f>
        <v>FCiências.ID</v>
      </c>
      <c r="E574" s="531" t="s">
        <v>41</v>
      </c>
      <c r="F574" s="529">
        <f>HLOOKUP(C574,'5.Equipments'!$AJ$2:$BC$22,(A574+1),FALSE)</f>
        <v>0</v>
      </c>
      <c r="G574" s="526">
        <f t="shared" si="69"/>
        <v>0</v>
      </c>
      <c r="H574" s="525">
        <f>IFERROR(VLOOKUP($B574,'3.Tasks'!$BK$4:$BO$23,2,FALSE),0)</f>
        <v>0</v>
      </c>
      <c r="I574" s="529">
        <f t="shared" si="71"/>
        <v>0</v>
      </c>
      <c r="J574" s="529">
        <f>IFERROR(VLOOKUP($B574,'3.Tasks'!$BK$4:$BO$23,3,FALSE),0)</f>
        <v>0</v>
      </c>
      <c r="K574" s="532">
        <v>0</v>
      </c>
      <c r="L574" s="529">
        <f>IFERROR(VLOOKUP($B574,'3.Tasks'!$BK$4:$BO$23,4,FALSE),0)</f>
        <v>0</v>
      </c>
      <c r="M574" s="532">
        <v>0</v>
      </c>
      <c r="N574" s="529">
        <f>IFERROR(VLOOKUP($B574,'3.Tasks'!$BK$4:$BO$23,5,FALSE),0)</f>
        <v>0</v>
      </c>
      <c r="O574" s="532">
        <v>0</v>
      </c>
      <c r="P574" s="530">
        <f t="shared" si="70"/>
        <v>0</v>
      </c>
    </row>
    <row r="575" spans="1:16">
      <c r="A575" s="529">
        <f t="shared" si="74"/>
        <v>19</v>
      </c>
      <c r="B575" s="529" t="s">
        <v>831</v>
      </c>
      <c r="C575" s="529" t="s">
        <v>31</v>
      </c>
      <c r="D575" s="529" t="str">
        <f>VLOOKUP(A575,Tabela8[[No.]:[Institution**]],9,FALSE)</f>
        <v>FCiências.ID</v>
      </c>
      <c r="E575" s="531" t="s">
        <v>41</v>
      </c>
      <c r="F575" s="529">
        <f>HLOOKUP(C575,'5.Equipments'!$AJ$2:$BC$22,(A575+1),FALSE)</f>
        <v>0</v>
      </c>
      <c r="G575" s="526">
        <f t="shared" si="69"/>
        <v>0</v>
      </c>
      <c r="H575" s="525">
        <f>IFERROR(VLOOKUP($B575,'3.Tasks'!$BK$4:$BO$23,2,FALSE),0)</f>
        <v>0</v>
      </c>
      <c r="I575" s="529">
        <f t="shared" si="71"/>
        <v>0</v>
      </c>
      <c r="J575" s="529">
        <f>IFERROR(VLOOKUP($B575,'3.Tasks'!$BK$4:$BO$23,3,FALSE),0)</f>
        <v>0</v>
      </c>
      <c r="K575" s="532">
        <v>0</v>
      </c>
      <c r="L575" s="529">
        <f>IFERROR(VLOOKUP($B575,'3.Tasks'!$BK$4:$BO$23,4,FALSE),0)</f>
        <v>0</v>
      </c>
      <c r="M575" s="532">
        <v>0</v>
      </c>
      <c r="N575" s="529">
        <f>IFERROR(VLOOKUP($B575,'3.Tasks'!$BK$4:$BO$23,5,FALSE),0)</f>
        <v>0</v>
      </c>
      <c r="O575" s="532">
        <v>0</v>
      </c>
      <c r="P575" s="530">
        <f t="shared" si="70"/>
        <v>0</v>
      </c>
    </row>
    <row r="576" spans="1:16">
      <c r="A576" s="529">
        <f t="shared" si="74"/>
        <v>19</v>
      </c>
      <c r="B576" s="529" t="s">
        <v>832</v>
      </c>
      <c r="C576" s="529" t="s">
        <v>32</v>
      </c>
      <c r="D576" s="529" t="str">
        <f>VLOOKUP(A576,Tabela8[[No.]:[Institution**]],9,FALSE)</f>
        <v>FCiências.ID</v>
      </c>
      <c r="E576" s="531" t="s">
        <v>41</v>
      </c>
      <c r="F576" s="529">
        <f>HLOOKUP(C576,'5.Equipments'!$AJ$2:$BC$22,(A576+1),FALSE)</f>
        <v>0</v>
      </c>
      <c r="G576" s="526">
        <f t="shared" si="69"/>
        <v>0</v>
      </c>
      <c r="H576" s="525">
        <f>IFERROR(VLOOKUP($B576,'3.Tasks'!$BK$4:$BO$23,2,FALSE),0)</f>
        <v>0</v>
      </c>
      <c r="I576" s="529">
        <f t="shared" si="71"/>
        <v>0</v>
      </c>
      <c r="J576" s="529">
        <f>IFERROR(VLOOKUP($B576,'3.Tasks'!$BK$4:$BO$23,3,FALSE),0)</f>
        <v>0</v>
      </c>
      <c r="K576" s="532">
        <v>0</v>
      </c>
      <c r="L576" s="529">
        <f>IFERROR(VLOOKUP($B576,'3.Tasks'!$BK$4:$BO$23,4,FALSE),0)</f>
        <v>0</v>
      </c>
      <c r="M576" s="532">
        <v>0</v>
      </c>
      <c r="N576" s="529">
        <f>IFERROR(VLOOKUP($B576,'3.Tasks'!$BK$4:$BO$23,5,FALSE),0)</f>
        <v>0</v>
      </c>
      <c r="O576" s="532">
        <v>0</v>
      </c>
      <c r="P576" s="530">
        <f t="shared" si="70"/>
        <v>0</v>
      </c>
    </row>
    <row r="577" spans="1:16">
      <c r="A577" s="529">
        <f t="shared" si="74"/>
        <v>19</v>
      </c>
      <c r="B577" s="529" t="s">
        <v>833</v>
      </c>
      <c r="C577" s="529" t="s">
        <v>33</v>
      </c>
      <c r="D577" s="529" t="str">
        <f>VLOOKUP(A577,Tabela8[[No.]:[Institution**]],9,FALSE)</f>
        <v>FCiências.ID</v>
      </c>
      <c r="E577" s="531" t="s">
        <v>41</v>
      </c>
      <c r="F577" s="529">
        <f>HLOOKUP(C577,'5.Equipments'!$AJ$2:$BC$22,(A577+1),FALSE)</f>
        <v>0</v>
      </c>
      <c r="G577" s="526">
        <f t="shared" si="69"/>
        <v>0</v>
      </c>
      <c r="H577" s="525">
        <f>IFERROR(VLOOKUP($B577,'3.Tasks'!$BK$4:$BO$23,2,FALSE),0)</f>
        <v>0</v>
      </c>
      <c r="I577" s="529">
        <f t="shared" si="71"/>
        <v>0</v>
      </c>
      <c r="J577" s="529">
        <f>IFERROR(VLOOKUP($B577,'3.Tasks'!$BK$4:$BO$23,3,FALSE),0)</f>
        <v>0</v>
      </c>
      <c r="K577" s="532">
        <v>0</v>
      </c>
      <c r="L577" s="529">
        <f>IFERROR(VLOOKUP($B577,'3.Tasks'!$BK$4:$BO$23,4,FALSE),0)</f>
        <v>0</v>
      </c>
      <c r="M577" s="532">
        <v>0</v>
      </c>
      <c r="N577" s="529">
        <f>IFERROR(VLOOKUP($B577,'3.Tasks'!$BK$4:$BO$23,5,FALSE),0)</f>
        <v>0</v>
      </c>
      <c r="O577" s="532">
        <v>0</v>
      </c>
      <c r="P577" s="530">
        <f t="shared" si="70"/>
        <v>0</v>
      </c>
    </row>
    <row r="578" spans="1:16">
      <c r="A578" s="529">
        <f t="shared" si="74"/>
        <v>19</v>
      </c>
      <c r="B578" s="529" t="s">
        <v>834</v>
      </c>
      <c r="C578" s="529" t="s">
        <v>34</v>
      </c>
      <c r="D578" s="529" t="str">
        <f>VLOOKUP(A578,Tabela8[[No.]:[Institution**]],9,FALSE)</f>
        <v>FCiências.ID</v>
      </c>
      <c r="E578" s="531" t="s">
        <v>41</v>
      </c>
      <c r="F578" s="529">
        <f>HLOOKUP(C578,'5.Equipments'!$AJ$2:$BC$22,(A578+1),FALSE)</f>
        <v>0</v>
      </c>
      <c r="G578" s="526">
        <f t="shared" si="69"/>
        <v>0</v>
      </c>
      <c r="H578" s="525">
        <f>IFERROR(VLOOKUP($B578,'3.Tasks'!$BK$4:$BO$23,2,FALSE),0)</f>
        <v>0</v>
      </c>
      <c r="I578" s="529">
        <f t="shared" si="71"/>
        <v>0</v>
      </c>
      <c r="J578" s="529">
        <f>IFERROR(VLOOKUP($B578,'3.Tasks'!$BK$4:$BO$23,3,FALSE),0)</f>
        <v>0</v>
      </c>
      <c r="K578" s="532">
        <v>0</v>
      </c>
      <c r="L578" s="529">
        <f>IFERROR(VLOOKUP($B578,'3.Tasks'!$BK$4:$BO$23,4,FALSE),0)</f>
        <v>0</v>
      </c>
      <c r="M578" s="532">
        <v>0</v>
      </c>
      <c r="N578" s="529">
        <f>IFERROR(VLOOKUP($B578,'3.Tasks'!$BK$4:$BO$23,5,FALSE),0)</f>
        <v>0</v>
      </c>
      <c r="O578" s="532">
        <v>0</v>
      </c>
      <c r="P578" s="530">
        <f t="shared" si="70"/>
        <v>0</v>
      </c>
    </row>
    <row r="579" spans="1:16">
      <c r="A579" s="529">
        <f t="shared" si="74"/>
        <v>19</v>
      </c>
      <c r="B579" s="529" t="s">
        <v>835</v>
      </c>
      <c r="C579" s="529" t="s">
        <v>35</v>
      </c>
      <c r="D579" s="529" t="str">
        <f>VLOOKUP(A579,Tabela8[[No.]:[Institution**]],9,FALSE)</f>
        <v>FCiências.ID</v>
      </c>
      <c r="E579" s="531" t="s">
        <v>41</v>
      </c>
      <c r="F579" s="529">
        <f>HLOOKUP(C579,'5.Equipments'!$AJ$2:$BC$22,(A579+1),FALSE)</f>
        <v>0</v>
      </c>
      <c r="G579" s="526">
        <f t="shared" ref="G579:G602" si="75">IFERROR((H579+J579+L579+N579),0)</f>
        <v>0</v>
      </c>
      <c r="H579" s="525">
        <f>IFERROR(VLOOKUP($B579,'3.Tasks'!$BK$4:$BO$23,2,FALSE),0)</f>
        <v>0</v>
      </c>
      <c r="I579" s="529">
        <f t="shared" si="71"/>
        <v>0</v>
      </c>
      <c r="J579" s="529">
        <f>IFERROR(VLOOKUP($B579,'3.Tasks'!$BK$4:$BO$23,3,FALSE),0)</f>
        <v>0</v>
      </c>
      <c r="K579" s="532">
        <v>0</v>
      </c>
      <c r="L579" s="529">
        <f>IFERROR(VLOOKUP($B579,'3.Tasks'!$BK$4:$BO$23,4,FALSE),0)</f>
        <v>0</v>
      </c>
      <c r="M579" s="532">
        <v>0</v>
      </c>
      <c r="N579" s="529">
        <f>IFERROR(VLOOKUP($B579,'3.Tasks'!$BK$4:$BO$23,5,FALSE),0)</f>
        <v>0</v>
      </c>
      <c r="O579" s="532">
        <v>0</v>
      </c>
      <c r="P579" s="530">
        <f t="shared" ref="P579:P602" si="76">+F579-I579-K579-M579-O579</f>
        <v>0</v>
      </c>
    </row>
    <row r="580" spans="1:16">
      <c r="A580" s="529">
        <f t="shared" si="74"/>
        <v>19</v>
      </c>
      <c r="B580" s="529" t="s">
        <v>836</v>
      </c>
      <c r="C580" s="529" t="s">
        <v>36</v>
      </c>
      <c r="D580" s="529" t="str">
        <f>VLOOKUP(A580,Tabela8[[No.]:[Institution**]],9,FALSE)</f>
        <v>FCiências.ID</v>
      </c>
      <c r="E580" s="531" t="s">
        <v>41</v>
      </c>
      <c r="F580" s="529">
        <f>HLOOKUP(C580,'5.Equipments'!$AJ$2:$BC$22,(A580+1),FALSE)</f>
        <v>0</v>
      </c>
      <c r="G580" s="526">
        <f t="shared" si="75"/>
        <v>0</v>
      </c>
      <c r="H580" s="525">
        <f>IFERROR(VLOOKUP($B580,'3.Tasks'!$BK$4:$BO$23,2,FALSE),0)</f>
        <v>0</v>
      </c>
      <c r="I580" s="529">
        <f t="shared" si="71"/>
        <v>0</v>
      </c>
      <c r="J580" s="529">
        <f>IFERROR(VLOOKUP($B580,'3.Tasks'!$BK$4:$BO$23,3,FALSE),0)</f>
        <v>0</v>
      </c>
      <c r="K580" s="532">
        <v>0</v>
      </c>
      <c r="L580" s="529">
        <f>IFERROR(VLOOKUP($B580,'3.Tasks'!$BK$4:$BO$23,4,FALSE),0)</f>
        <v>0</v>
      </c>
      <c r="M580" s="532">
        <v>0</v>
      </c>
      <c r="N580" s="529">
        <f>IFERROR(VLOOKUP($B580,'3.Tasks'!$BK$4:$BO$23,5,FALSE),0)</f>
        <v>0</v>
      </c>
      <c r="O580" s="532">
        <v>0</v>
      </c>
      <c r="P580" s="530">
        <f t="shared" si="76"/>
        <v>0</v>
      </c>
    </row>
    <row r="581" spans="1:16">
      <c r="A581" s="529">
        <f t="shared" si="74"/>
        <v>19</v>
      </c>
      <c r="B581" s="529" t="s">
        <v>837</v>
      </c>
      <c r="C581" s="529" t="s">
        <v>37</v>
      </c>
      <c r="D581" s="529" t="str">
        <f>VLOOKUP(A581,Tabela8[[No.]:[Institution**]],9,FALSE)</f>
        <v>FCiências.ID</v>
      </c>
      <c r="E581" s="531" t="s">
        <v>41</v>
      </c>
      <c r="F581" s="529">
        <f>HLOOKUP(C581,'5.Equipments'!$AJ$2:$BC$22,(A581+1),FALSE)</f>
        <v>0</v>
      </c>
      <c r="G581" s="526">
        <f t="shared" si="75"/>
        <v>0</v>
      </c>
      <c r="H581" s="525">
        <f>IFERROR(VLOOKUP($B581,'3.Tasks'!$BK$4:$BO$23,2,FALSE),0)</f>
        <v>0</v>
      </c>
      <c r="I581" s="529">
        <f t="shared" si="71"/>
        <v>0</v>
      </c>
      <c r="J581" s="529">
        <f>IFERROR(VLOOKUP($B581,'3.Tasks'!$BK$4:$BO$23,3,FALSE),0)</f>
        <v>0</v>
      </c>
      <c r="K581" s="532">
        <v>0</v>
      </c>
      <c r="L581" s="529">
        <f>IFERROR(VLOOKUP($B581,'3.Tasks'!$BK$4:$BO$23,4,FALSE),0)</f>
        <v>0</v>
      </c>
      <c r="M581" s="532">
        <v>0</v>
      </c>
      <c r="N581" s="529">
        <f>IFERROR(VLOOKUP($B581,'3.Tasks'!$BK$4:$BO$23,5,FALSE),0)</f>
        <v>0</v>
      </c>
      <c r="O581" s="532">
        <v>0</v>
      </c>
      <c r="P581" s="530">
        <f t="shared" si="76"/>
        <v>0</v>
      </c>
    </row>
    <row r="582" spans="1:16">
      <c r="A582" s="529">
        <v>20</v>
      </c>
      <c r="B582" s="529" t="s">
        <v>818</v>
      </c>
      <c r="C582" s="529" t="s">
        <v>18</v>
      </c>
      <c r="D582" s="529" t="str">
        <f>VLOOKUP(A582,Tabela8[[No.]:[Institution**]],9,FALSE)</f>
        <v>FCiências.ID</v>
      </c>
      <c r="E582" s="531" t="s">
        <v>41</v>
      </c>
      <c r="F582" s="529">
        <f>HLOOKUP(C582,'5.Equipments'!$AJ$2:$BC$22,(A582+1),FALSE)</f>
        <v>0</v>
      </c>
      <c r="G582" s="526">
        <f t="shared" si="75"/>
        <v>0</v>
      </c>
      <c r="H582" s="525">
        <f>IFERROR(VLOOKUP($B582,'3.Tasks'!$BK$4:$BO$23,2,FALSE),0)</f>
        <v>0</v>
      </c>
      <c r="I582" s="529">
        <f t="shared" si="71"/>
        <v>0</v>
      </c>
      <c r="J582" s="529">
        <f>IFERROR(VLOOKUP($B582,'3.Tasks'!$BK$4:$BO$23,3,FALSE),0)</f>
        <v>0</v>
      </c>
      <c r="K582" s="532">
        <v>0</v>
      </c>
      <c r="L582" s="529">
        <f>IFERROR(VLOOKUP($B582,'3.Tasks'!$BK$4:$BO$23,4,FALSE),0)</f>
        <v>0</v>
      </c>
      <c r="M582" s="532">
        <v>0</v>
      </c>
      <c r="N582" s="529">
        <f>IFERROR(VLOOKUP($B582,'3.Tasks'!$BK$4:$BO$23,5,FALSE),0)</f>
        <v>0</v>
      </c>
      <c r="O582" s="532">
        <v>0</v>
      </c>
      <c r="P582" s="530">
        <f t="shared" si="76"/>
        <v>0</v>
      </c>
    </row>
    <row r="583" spans="1:16">
      <c r="A583" s="529">
        <f>+A582</f>
        <v>20</v>
      </c>
      <c r="B583" s="529" t="s">
        <v>819</v>
      </c>
      <c r="C583" s="529" t="s">
        <v>19</v>
      </c>
      <c r="D583" s="529" t="str">
        <f>VLOOKUP(A583,Tabela8[[No.]:[Institution**]],9,FALSE)</f>
        <v>FCiências.ID</v>
      </c>
      <c r="E583" s="531" t="s">
        <v>41</v>
      </c>
      <c r="F583" s="529">
        <f>HLOOKUP(C583,'5.Equipments'!$AJ$2:$BC$22,(A583+1),FALSE)</f>
        <v>0</v>
      </c>
      <c r="G583" s="526">
        <f t="shared" si="75"/>
        <v>0</v>
      </c>
      <c r="H583" s="525">
        <f>IFERROR(VLOOKUP($B583,'3.Tasks'!$BK$4:$BO$23,2,FALSE),0)</f>
        <v>0</v>
      </c>
      <c r="I583" s="529">
        <f t="shared" si="71"/>
        <v>0</v>
      </c>
      <c r="J583" s="529">
        <f>IFERROR(VLOOKUP($B583,'3.Tasks'!$BK$4:$BO$23,3,FALSE),0)</f>
        <v>0</v>
      </c>
      <c r="K583" s="532">
        <v>0</v>
      </c>
      <c r="L583" s="529">
        <f>IFERROR(VLOOKUP($B583,'3.Tasks'!$BK$4:$BO$23,4,FALSE),0)</f>
        <v>0</v>
      </c>
      <c r="M583" s="532">
        <v>0</v>
      </c>
      <c r="N583" s="529">
        <f>IFERROR(VLOOKUP($B583,'3.Tasks'!$BK$4:$BO$23,5,FALSE),0)</f>
        <v>0</v>
      </c>
      <c r="O583" s="532">
        <v>0</v>
      </c>
      <c r="P583" s="530">
        <f t="shared" si="76"/>
        <v>0</v>
      </c>
    </row>
    <row r="584" spans="1:16">
      <c r="A584" s="529">
        <f t="shared" ref="A584:A601" si="77">+A583</f>
        <v>20</v>
      </c>
      <c r="B584" s="529" t="s">
        <v>820</v>
      </c>
      <c r="C584" s="529" t="s">
        <v>20</v>
      </c>
      <c r="D584" s="529" t="str">
        <f>VLOOKUP(A584,Tabela8[[No.]:[Institution**]],9,FALSE)</f>
        <v>FCiências.ID</v>
      </c>
      <c r="E584" s="531" t="s">
        <v>41</v>
      </c>
      <c r="F584" s="529">
        <f>HLOOKUP(C584,'5.Equipments'!$AJ$2:$BC$22,(A584+1),FALSE)</f>
        <v>0</v>
      </c>
      <c r="G584" s="526">
        <f t="shared" si="75"/>
        <v>0</v>
      </c>
      <c r="H584" s="525">
        <f>IFERROR(VLOOKUP($B584,'3.Tasks'!$BK$4:$BO$23,2,FALSE),0)</f>
        <v>0</v>
      </c>
      <c r="I584" s="529">
        <f t="shared" si="71"/>
        <v>0</v>
      </c>
      <c r="J584" s="529">
        <f>IFERROR(VLOOKUP($B584,'3.Tasks'!$BK$4:$BO$23,3,FALSE),0)</f>
        <v>0</v>
      </c>
      <c r="K584" s="532">
        <v>0</v>
      </c>
      <c r="L584" s="529">
        <f>IFERROR(VLOOKUP($B584,'3.Tasks'!$BK$4:$BO$23,4,FALSE),0)</f>
        <v>0</v>
      </c>
      <c r="M584" s="532">
        <v>0</v>
      </c>
      <c r="N584" s="529">
        <f>IFERROR(VLOOKUP($B584,'3.Tasks'!$BK$4:$BO$23,5,FALSE),0)</f>
        <v>0</v>
      </c>
      <c r="O584" s="532">
        <v>0</v>
      </c>
      <c r="P584" s="530">
        <f t="shared" si="76"/>
        <v>0</v>
      </c>
    </row>
    <row r="585" spans="1:16">
      <c r="A585" s="529">
        <f t="shared" si="77"/>
        <v>20</v>
      </c>
      <c r="B585" s="529" t="s">
        <v>821</v>
      </c>
      <c r="C585" s="529" t="s">
        <v>21</v>
      </c>
      <c r="D585" s="529" t="str">
        <f>VLOOKUP(A585,Tabela8[[No.]:[Institution**]],9,FALSE)</f>
        <v>FCiências.ID</v>
      </c>
      <c r="E585" s="531" t="s">
        <v>41</v>
      </c>
      <c r="F585" s="529">
        <f>HLOOKUP(C585,'5.Equipments'!$AJ$2:$BC$22,(A585+1),FALSE)</f>
        <v>0</v>
      </c>
      <c r="G585" s="526">
        <f t="shared" si="75"/>
        <v>0</v>
      </c>
      <c r="H585" s="525">
        <f>IFERROR(VLOOKUP($B585,'3.Tasks'!$BK$4:$BO$23,2,FALSE),0)</f>
        <v>0</v>
      </c>
      <c r="I585" s="529">
        <f t="shared" si="71"/>
        <v>0</v>
      </c>
      <c r="J585" s="529">
        <f>IFERROR(VLOOKUP($B585,'3.Tasks'!$BK$4:$BO$23,3,FALSE),0)</f>
        <v>0</v>
      </c>
      <c r="K585" s="532">
        <v>0</v>
      </c>
      <c r="L585" s="529">
        <f>IFERROR(VLOOKUP($B585,'3.Tasks'!$BK$4:$BO$23,4,FALSE),0)</f>
        <v>0</v>
      </c>
      <c r="M585" s="532">
        <v>0</v>
      </c>
      <c r="N585" s="529">
        <f>IFERROR(VLOOKUP($B585,'3.Tasks'!$BK$4:$BO$23,5,FALSE),0)</f>
        <v>0</v>
      </c>
      <c r="O585" s="532">
        <v>0</v>
      </c>
      <c r="P585" s="530">
        <f t="shared" si="76"/>
        <v>0</v>
      </c>
    </row>
    <row r="586" spans="1:16">
      <c r="A586" s="529">
        <f t="shared" si="77"/>
        <v>20</v>
      </c>
      <c r="B586" s="529" t="s">
        <v>822</v>
      </c>
      <c r="C586" s="529" t="s">
        <v>22</v>
      </c>
      <c r="D586" s="529" t="str">
        <f>VLOOKUP(A586,Tabela8[[No.]:[Institution**]],9,FALSE)</f>
        <v>FCiências.ID</v>
      </c>
      <c r="E586" s="531" t="s">
        <v>41</v>
      </c>
      <c r="F586" s="529">
        <f>HLOOKUP(C586,'5.Equipments'!$AJ$2:$BC$22,(A586+1),FALSE)</f>
        <v>0</v>
      </c>
      <c r="G586" s="526">
        <f t="shared" si="75"/>
        <v>0</v>
      </c>
      <c r="H586" s="525">
        <f>IFERROR(VLOOKUP($B586,'3.Tasks'!$BK$4:$BO$23,2,FALSE),0)</f>
        <v>0</v>
      </c>
      <c r="I586" s="529">
        <f t="shared" si="71"/>
        <v>0</v>
      </c>
      <c r="J586" s="529">
        <f>IFERROR(VLOOKUP($B586,'3.Tasks'!$BK$4:$BO$23,3,FALSE),0)</f>
        <v>0</v>
      </c>
      <c r="K586" s="532">
        <v>0</v>
      </c>
      <c r="L586" s="529">
        <f>IFERROR(VLOOKUP($B586,'3.Tasks'!$BK$4:$BO$23,4,FALSE),0)</f>
        <v>0</v>
      </c>
      <c r="M586" s="532">
        <v>0</v>
      </c>
      <c r="N586" s="529">
        <f>IFERROR(VLOOKUP($B586,'3.Tasks'!$BK$4:$BO$23,5,FALSE),0)</f>
        <v>0</v>
      </c>
      <c r="O586" s="532">
        <v>0</v>
      </c>
      <c r="P586" s="530">
        <f t="shared" si="76"/>
        <v>0</v>
      </c>
    </row>
    <row r="587" spans="1:16">
      <c r="A587" s="529">
        <f t="shared" si="77"/>
        <v>20</v>
      </c>
      <c r="B587" s="529" t="s">
        <v>823</v>
      </c>
      <c r="C587" s="529" t="s">
        <v>23</v>
      </c>
      <c r="D587" s="529" t="str">
        <f>VLOOKUP(A587,Tabela8[[No.]:[Institution**]],9,FALSE)</f>
        <v>FCiências.ID</v>
      </c>
      <c r="E587" s="531" t="s">
        <v>41</v>
      </c>
      <c r="F587" s="529">
        <f>HLOOKUP(C587,'5.Equipments'!$AJ$2:$BC$22,(A587+1),FALSE)</f>
        <v>0</v>
      </c>
      <c r="G587" s="526">
        <f t="shared" si="75"/>
        <v>0</v>
      </c>
      <c r="H587" s="525">
        <f>IFERROR(VLOOKUP($B587,'3.Tasks'!$BK$4:$BO$23,2,FALSE),0)</f>
        <v>0</v>
      </c>
      <c r="I587" s="529">
        <f t="shared" ref="I587:I601" si="78">+F587</f>
        <v>0</v>
      </c>
      <c r="J587" s="529">
        <f>IFERROR(VLOOKUP($B587,'3.Tasks'!$BK$4:$BO$23,3,FALSE),0)</f>
        <v>0</v>
      </c>
      <c r="K587" s="532">
        <v>0</v>
      </c>
      <c r="L587" s="529">
        <f>IFERROR(VLOOKUP($B587,'3.Tasks'!$BK$4:$BO$23,4,FALSE),0)</f>
        <v>0</v>
      </c>
      <c r="M587" s="532">
        <v>0</v>
      </c>
      <c r="N587" s="529">
        <f>IFERROR(VLOOKUP($B587,'3.Tasks'!$BK$4:$BO$23,5,FALSE),0)</f>
        <v>0</v>
      </c>
      <c r="O587" s="532">
        <v>0</v>
      </c>
      <c r="P587" s="530">
        <f t="shared" si="76"/>
        <v>0</v>
      </c>
    </row>
    <row r="588" spans="1:16">
      <c r="A588" s="529">
        <f t="shared" si="77"/>
        <v>20</v>
      </c>
      <c r="B588" s="529" t="s">
        <v>824</v>
      </c>
      <c r="C588" s="529" t="s">
        <v>24</v>
      </c>
      <c r="D588" s="529" t="str">
        <f>VLOOKUP(A588,Tabela8[[No.]:[Institution**]],9,FALSE)</f>
        <v>FCiências.ID</v>
      </c>
      <c r="E588" s="531" t="s">
        <v>41</v>
      </c>
      <c r="F588" s="529">
        <f>HLOOKUP(C588,'5.Equipments'!$AJ$2:$BC$22,(A588+1),FALSE)</f>
        <v>0</v>
      </c>
      <c r="G588" s="526">
        <f t="shared" si="75"/>
        <v>0</v>
      </c>
      <c r="H588" s="525">
        <f>IFERROR(VLOOKUP($B588,'3.Tasks'!$BK$4:$BO$23,2,FALSE),0)</f>
        <v>0</v>
      </c>
      <c r="I588" s="529">
        <f t="shared" si="78"/>
        <v>0</v>
      </c>
      <c r="J588" s="529">
        <f>IFERROR(VLOOKUP($B588,'3.Tasks'!$BK$4:$BO$23,3,FALSE),0)</f>
        <v>0</v>
      </c>
      <c r="K588" s="532">
        <v>0</v>
      </c>
      <c r="L588" s="529">
        <f>IFERROR(VLOOKUP($B588,'3.Tasks'!$BK$4:$BO$23,4,FALSE),0)</f>
        <v>0</v>
      </c>
      <c r="M588" s="532">
        <v>0</v>
      </c>
      <c r="N588" s="529">
        <f>IFERROR(VLOOKUP($B588,'3.Tasks'!$BK$4:$BO$23,5,FALSE),0)</f>
        <v>0</v>
      </c>
      <c r="O588" s="532">
        <v>0</v>
      </c>
      <c r="P588" s="530">
        <f t="shared" si="76"/>
        <v>0</v>
      </c>
    </row>
    <row r="589" spans="1:16">
      <c r="A589" s="529">
        <f t="shared" si="77"/>
        <v>20</v>
      </c>
      <c r="B589" s="529" t="s">
        <v>825</v>
      </c>
      <c r="C589" s="529" t="s">
        <v>25</v>
      </c>
      <c r="D589" s="529" t="str">
        <f>VLOOKUP(A589,Tabela8[[No.]:[Institution**]],9,FALSE)</f>
        <v>FCiências.ID</v>
      </c>
      <c r="E589" s="531" t="s">
        <v>41</v>
      </c>
      <c r="F589" s="529">
        <f>HLOOKUP(C589,'5.Equipments'!$AJ$2:$BC$22,(A589+1),FALSE)</f>
        <v>0</v>
      </c>
      <c r="G589" s="526">
        <f t="shared" si="75"/>
        <v>0</v>
      </c>
      <c r="H589" s="525">
        <f>IFERROR(VLOOKUP($B589,'3.Tasks'!$BK$4:$BO$23,2,FALSE),0)</f>
        <v>0</v>
      </c>
      <c r="I589" s="529">
        <f t="shared" si="78"/>
        <v>0</v>
      </c>
      <c r="J589" s="529">
        <f>IFERROR(VLOOKUP($B589,'3.Tasks'!$BK$4:$BO$23,3,FALSE),0)</f>
        <v>0</v>
      </c>
      <c r="K589" s="532">
        <v>0</v>
      </c>
      <c r="L589" s="529">
        <f>IFERROR(VLOOKUP($B589,'3.Tasks'!$BK$4:$BO$23,4,FALSE),0)</f>
        <v>0</v>
      </c>
      <c r="M589" s="532">
        <v>0</v>
      </c>
      <c r="N589" s="529">
        <f>IFERROR(VLOOKUP($B589,'3.Tasks'!$BK$4:$BO$23,5,FALSE),0)</f>
        <v>0</v>
      </c>
      <c r="O589" s="532">
        <v>0</v>
      </c>
      <c r="P589" s="530">
        <f t="shared" si="76"/>
        <v>0</v>
      </c>
    </row>
    <row r="590" spans="1:16">
      <c r="A590" s="529">
        <f t="shared" si="77"/>
        <v>20</v>
      </c>
      <c r="B590" s="529" t="s">
        <v>826</v>
      </c>
      <c r="C590" s="529" t="s">
        <v>26</v>
      </c>
      <c r="D590" s="529" t="str">
        <f>VLOOKUP(A590,Tabela8[[No.]:[Institution**]],9,FALSE)</f>
        <v>FCiências.ID</v>
      </c>
      <c r="E590" s="531" t="s">
        <v>41</v>
      </c>
      <c r="F590" s="529">
        <f>HLOOKUP(C590,'5.Equipments'!$AJ$2:$BC$22,(A590+1),FALSE)</f>
        <v>0</v>
      </c>
      <c r="G590" s="526">
        <f t="shared" si="75"/>
        <v>0</v>
      </c>
      <c r="H590" s="525">
        <f>IFERROR(VLOOKUP($B590,'3.Tasks'!$BK$4:$BO$23,2,FALSE),0)</f>
        <v>0</v>
      </c>
      <c r="I590" s="529">
        <f t="shared" si="78"/>
        <v>0</v>
      </c>
      <c r="J590" s="529">
        <f>IFERROR(VLOOKUP($B590,'3.Tasks'!$BK$4:$BO$23,3,FALSE),0)</f>
        <v>0</v>
      </c>
      <c r="K590" s="532">
        <v>0</v>
      </c>
      <c r="L590" s="529">
        <f>IFERROR(VLOOKUP($B590,'3.Tasks'!$BK$4:$BO$23,4,FALSE),0)</f>
        <v>0</v>
      </c>
      <c r="M590" s="532">
        <v>0</v>
      </c>
      <c r="N590" s="529">
        <f>IFERROR(VLOOKUP($B590,'3.Tasks'!$BK$4:$BO$23,5,FALSE),0)</f>
        <v>0</v>
      </c>
      <c r="O590" s="532">
        <v>0</v>
      </c>
      <c r="P590" s="530">
        <f t="shared" si="76"/>
        <v>0</v>
      </c>
    </row>
    <row r="591" spans="1:16">
      <c r="A591" s="529">
        <f t="shared" si="77"/>
        <v>20</v>
      </c>
      <c r="B591" s="529" t="s">
        <v>827</v>
      </c>
      <c r="C591" s="529" t="s">
        <v>27</v>
      </c>
      <c r="D591" s="529" t="str">
        <f>VLOOKUP(A591,Tabela8[[No.]:[Institution**]],9,FALSE)</f>
        <v>FCiências.ID</v>
      </c>
      <c r="E591" s="531" t="s">
        <v>41</v>
      </c>
      <c r="F591" s="529">
        <f>HLOOKUP(C591,'5.Equipments'!$AJ$2:$BC$22,(A591+1),FALSE)</f>
        <v>0</v>
      </c>
      <c r="G591" s="526">
        <f t="shared" si="75"/>
        <v>0</v>
      </c>
      <c r="H591" s="525">
        <f>IFERROR(VLOOKUP($B591,'3.Tasks'!$BK$4:$BO$23,2,FALSE),0)</f>
        <v>0</v>
      </c>
      <c r="I591" s="529">
        <f t="shared" si="78"/>
        <v>0</v>
      </c>
      <c r="J591" s="529">
        <f>IFERROR(VLOOKUP($B591,'3.Tasks'!$BK$4:$BO$23,3,FALSE),0)</f>
        <v>0</v>
      </c>
      <c r="K591" s="532">
        <v>0</v>
      </c>
      <c r="L591" s="529">
        <f>IFERROR(VLOOKUP($B591,'3.Tasks'!$BK$4:$BO$23,4,FALSE),0)</f>
        <v>0</v>
      </c>
      <c r="M591" s="532">
        <v>0</v>
      </c>
      <c r="N591" s="529">
        <f>IFERROR(VLOOKUP($B591,'3.Tasks'!$BK$4:$BO$23,5,FALSE),0)</f>
        <v>0</v>
      </c>
      <c r="O591" s="532">
        <v>0</v>
      </c>
      <c r="P591" s="530">
        <f t="shared" si="76"/>
        <v>0</v>
      </c>
    </row>
    <row r="592" spans="1:16">
      <c r="A592" s="529">
        <f t="shared" si="77"/>
        <v>20</v>
      </c>
      <c r="B592" s="529" t="s">
        <v>828</v>
      </c>
      <c r="C592" s="529" t="s">
        <v>28</v>
      </c>
      <c r="D592" s="529" t="str">
        <f>VLOOKUP(A592,Tabela8[[No.]:[Institution**]],9,FALSE)</f>
        <v>FCiências.ID</v>
      </c>
      <c r="E592" s="531" t="s">
        <v>41</v>
      </c>
      <c r="F592" s="529">
        <f>HLOOKUP(C592,'5.Equipments'!$AJ$2:$BC$22,(A592+1),FALSE)</f>
        <v>0</v>
      </c>
      <c r="G592" s="526">
        <f t="shared" si="75"/>
        <v>0</v>
      </c>
      <c r="H592" s="525">
        <f>IFERROR(VLOOKUP($B592,'3.Tasks'!$BK$4:$BO$23,2,FALSE),0)</f>
        <v>0</v>
      </c>
      <c r="I592" s="529">
        <f t="shared" si="78"/>
        <v>0</v>
      </c>
      <c r="J592" s="529">
        <f>IFERROR(VLOOKUP($B592,'3.Tasks'!$BK$4:$BO$23,3,FALSE),0)</f>
        <v>0</v>
      </c>
      <c r="K592" s="532">
        <v>0</v>
      </c>
      <c r="L592" s="529">
        <f>IFERROR(VLOOKUP($B592,'3.Tasks'!$BK$4:$BO$23,4,FALSE),0)</f>
        <v>0</v>
      </c>
      <c r="M592" s="532">
        <v>0</v>
      </c>
      <c r="N592" s="529">
        <f>IFERROR(VLOOKUP($B592,'3.Tasks'!$BK$4:$BO$23,5,FALSE),0)</f>
        <v>0</v>
      </c>
      <c r="O592" s="532">
        <v>0</v>
      </c>
      <c r="P592" s="530">
        <f t="shared" si="76"/>
        <v>0</v>
      </c>
    </row>
    <row r="593" spans="1:16">
      <c r="A593" s="529">
        <f t="shared" si="77"/>
        <v>20</v>
      </c>
      <c r="B593" s="529" t="s">
        <v>829</v>
      </c>
      <c r="C593" s="529" t="s">
        <v>29</v>
      </c>
      <c r="D593" s="529" t="str">
        <f>VLOOKUP(A593,Tabela8[[No.]:[Institution**]],9,FALSE)</f>
        <v>FCiências.ID</v>
      </c>
      <c r="E593" s="531" t="s">
        <v>41</v>
      </c>
      <c r="F593" s="529">
        <f>HLOOKUP(C593,'5.Equipments'!$AJ$2:$BC$22,(A593+1),FALSE)</f>
        <v>0</v>
      </c>
      <c r="G593" s="526">
        <f t="shared" si="75"/>
        <v>0</v>
      </c>
      <c r="H593" s="525">
        <f>IFERROR(VLOOKUP($B593,'3.Tasks'!$BK$4:$BO$23,2,FALSE),0)</f>
        <v>0</v>
      </c>
      <c r="I593" s="529">
        <f t="shared" si="78"/>
        <v>0</v>
      </c>
      <c r="J593" s="529">
        <f>IFERROR(VLOOKUP($B593,'3.Tasks'!$BK$4:$BO$23,3,FALSE),0)</f>
        <v>0</v>
      </c>
      <c r="K593" s="532">
        <v>0</v>
      </c>
      <c r="L593" s="529">
        <f>IFERROR(VLOOKUP($B593,'3.Tasks'!$BK$4:$BO$23,4,FALSE),0)</f>
        <v>0</v>
      </c>
      <c r="M593" s="532">
        <v>0</v>
      </c>
      <c r="N593" s="529">
        <f>IFERROR(VLOOKUP($B593,'3.Tasks'!$BK$4:$BO$23,5,FALSE),0)</f>
        <v>0</v>
      </c>
      <c r="O593" s="532">
        <v>0</v>
      </c>
      <c r="P593" s="530">
        <f t="shared" si="76"/>
        <v>0</v>
      </c>
    </row>
    <row r="594" spans="1:16">
      <c r="A594" s="529">
        <f t="shared" si="77"/>
        <v>20</v>
      </c>
      <c r="B594" s="529" t="s">
        <v>830</v>
      </c>
      <c r="C594" s="529" t="s">
        <v>30</v>
      </c>
      <c r="D594" s="529" t="str">
        <f>VLOOKUP(A594,Tabela8[[No.]:[Institution**]],9,FALSE)</f>
        <v>FCiências.ID</v>
      </c>
      <c r="E594" s="531" t="s">
        <v>41</v>
      </c>
      <c r="F594" s="529">
        <f>HLOOKUP(C594,'5.Equipments'!$AJ$2:$BC$22,(A594+1),FALSE)</f>
        <v>0</v>
      </c>
      <c r="G594" s="526">
        <f t="shared" si="75"/>
        <v>0</v>
      </c>
      <c r="H594" s="525">
        <f>IFERROR(VLOOKUP($B594,'3.Tasks'!$BK$4:$BO$23,2,FALSE),0)</f>
        <v>0</v>
      </c>
      <c r="I594" s="529">
        <f t="shared" si="78"/>
        <v>0</v>
      </c>
      <c r="J594" s="529">
        <f>IFERROR(VLOOKUP($B594,'3.Tasks'!$BK$4:$BO$23,3,FALSE),0)</f>
        <v>0</v>
      </c>
      <c r="K594" s="532">
        <v>0</v>
      </c>
      <c r="L594" s="529">
        <f>IFERROR(VLOOKUP($B594,'3.Tasks'!$BK$4:$BO$23,4,FALSE),0)</f>
        <v>0</v>
      </c>
      <c r="M594" s="532">
        <v>0</v>
      </c>
      <c r="N594" s="529">
        <f>IFERROR(VLOOKUP($B594,'3.Tasks'!$BK$4:$BO$23,5,FALSE),0)</f>
        <v>0</v>
      </c>
      <c r="O594" s="532">
        <v>0</v>
      </c>
      <c r="P594" s="530">
        <f t="shared" si="76"/>
        <v>0</v>
      </c>
    </row>
    <row r="595" spans="1:16">
      <c r="A595" s="529">
        <f t="shared" si="77"/>
        <v>20</v>
      </c>
      <c r="B595" s="529" t="s">
        <v>831</v>
      </c>
      <c r="C595" s="529" t="s">
        <v>31</v>
      </c>
      <c r="D595" s="529" t="str">
        <f>VLOOKUP(A595,Tabela8[[No.]:[Institution**]],9,FALSE)</f>
        <v>FCiências.ID</v>
      </c>
      <c r="E595" s="531" t="s">
        <v>41</v>
      </c>
      <c r="F595" s="529">
        <f>HLOOKUP(C595,'5.Equipments'!$AJ$2:$BC$22,(A595+1),FALSE)</f>
        <v>0</v>
      </c>
      <c r="G595" s="526">
        <f t="shared" si="75"/>
        <v>0</v>
      </c>
      <c r="H595" s="525">
        <f>IFERROR(VLOOKUP($B595,'3.Tasks'!$BK$4:$BO$23,2,FALSE),0)</f>
        <v>0</v>
      </c>
      <c r="I595" s="529">
        <f t="shared" si="78"/>
        <v>0</v>
      </c>
      <c r="J595" s="529">
        <f>IFERROR(VLOOKUP($B595,'3.Tasks'!$BK$4:$BO$23,3,FALSE),0)</f>
        <v>0</v>
      </c>
      <c r="K595" s="532">
        <v>0</v>
      </c>
      <c r="L595" s="529">
        <f>IFERROR(VLOOKUP($B595,'3.Tasks'!$BK$4:$BO$23,4,FALSE),0)</f>
        <v>0</v>
      </c>
      <c r="M595" s="532">
        <v>0</v>
      </c>
      <c r="N595" s="529">
        <f>IFERROR(VLOOKUP($B595,'3.Tasks'!$BK$4:$BO$23,5,FALSE),0)</f>
        <v>0</v>
      </c>
      <c r="O595" s="532">
        <v>0</v>
      </c>
      <c r="P595" s="530">
        <f t="shared" si="76"/>
        <v>0</v>
      </c>
    </row>
    <row r="596" spans="1:16">
      <c r="A596" s="529">
        <f t="shared" si="77"/>
        <v>20</v>
      </c>
      <c r="B596" s="529" t="s">
        <v>832</v>
      </c>
      <c r="C596" s="529" t="s">
        <v>32</v>
      </c>
      <c r="D596" s="529" t="str">
        <f>VLOOKUP(A596,Tabela8[[No.]:[Institution**]],9,FALSE)</f>
        <v>FCiências.ID</v>
      </c>
      <c r="E596" s="531" t="s">
        <v>41</v>
      </c>
      <c r="F596" s="529">
        <f>HLOOKUP(C596,'5.Equipments'!$AJ$2:$BC$22,(A596+1),FALSE)</f>
        <v>0</v>
      </c>
      <c r="G596" s="526">
        <f t="shared" si="75"/>
        <v>0</v>
      </c>
      <c r="H596" s="525">
        <f>IFERROR(VLOOKUP($B596,'3.Tasks'!$BK$4:$BO$23,2,FALSE),0)</f>
        <v>0</v>
      </c>
      <c r="I596" s="529">
        <f t="shared" si="78"/>
        <v>0</v>
      </c>
      <c r="J596" s="529">
        <f>IFERROR(VLOOKUP($B596,'3.Tasks'!$BK$4:$BO$23,3,FALSE),0)</f>
        <v>0</v>
      </c>
      <c r="K596" s="532">
        <v>0</v>
      </c>
      <c r="L596" s="529">
        <f>IFERROR(VLOOKUP($B596,'3.Tasks'!$BK$4:$BO$23,4,FALSE),0)</f>
        <v>0</v>
      </c>
      <c r="M596" s="532">
        <v>0</v>
      </c>
      <c r="N596" s="529">
        <f>IFERROR(VLOOKUP($B596,'3.Tasks'!$BK$4:$BO$23,5,FALSE),0)</f>
        <v>0</v>
      </c>
      <c r="O596" s="532">
        <v>0</v>
      </c>
      <c r="P596" s="530">
        <f t="shared" si="76"/>
        <v>0</v>
      </c>
    </row>
    <row r="597" spans="1:16">
      <c r="A597" s="529">
        <f t="shared" si="77"/>
        <v>20</v>
      </c>
      <c r="B597" s="529" t="s">
        <v>833</v>
      </c>
      <c r="C597" s="529" t="s">
        <v>33</v>
      </c>
      <c r="D597" s="529" t="str">
        <f>VLOOKUP(A597,Tabela8[[No.]:[Institution**]],9,FALSE)</f>
        <v>FCiências.ID</v>
      </c>
      <c r="E597" s="531" t="s">
        <v>41</v>
      </c>
      <c r="F597" s="529">
        <f>HLOOKUP(C597,'5.Equipments'!$AJ$2:$BC$22,(A597+1),FALSE)</f>
        <v>0</v>
      </c>
      <c r="G597" s="526">
        <f t="shared" si="75"/>
        <v>0</v>
      </c>
      <c r="H597" s="525">
        <f>IFERROR(VLOOKUP($B597,'3.Tasks'!$BK$4:$BO$23,2,FALSE),0)</f>
        <v>0</v>
      </c>
      <c r="I597" s="529">
        <f t="shared" si="78"/>
        <v>0</v>
      </c>
      <c r="J597" s="529">
        <f>IFERROR(VLOOKUP($B597,'3.Tasks'!$BK$4:$BO$23,3,FALSE),0)</f>
        <v>0</v>
      </c>
      <c r="K597" s="532">
        <v>0</v>
      </c>
      <c r="L597" s="529">
        <f>IFERROR(VLOOKUP($B597,'3.Tasks'!$BK$4:$BO$23,4,FALSE),0)</f>
        <v>0</v>
      </c>
      <c r="M597" s="532">
        <v>0</v>
      </c>
      <c r="N597" s="529">
        <f>IFERROR(VLOOKUP($B597,'3.Tasks'!$BK$4:$BO$23,5,FALSE),0)</f>
        <v>0</v>
      </c>
      <c r="O597" s="532">
        <v>0</v>
      </c>
      <c r="P597" s="530">
        <f t="shared" si="76"/>
        <v>0</v>
      </c>
    </row>
    <row r="598" spans="1:16">
      <c r="A598" s="529">
        <f t="shared" si="77"/>
        <v>20</v>
      </c>
      <c r="B598" s="529" t="s">
        <v>834</v>
      </c>
      <c r="C598" s="529" t="s">
        <v>34</v>
      </c>
      <c r="D598" s="529" t="str">
        <f>VLOOKUP(A598,Tabela8[[No.]:[Institution**]],9,FALSE)</f>
        <v>FCiências.ID</v>
      </c>
      <c r="E598" s="531" t="s">
        <v>41</v>
      </c>
      <c r="F598" s="529">
        <f>HLOOKUP(C598,'5.Equipments'!$AJ$2:$BC$22,(A598+1),FALSE)</f>
        <v>0</v>
      </c>
      <c r="G598" s="526">
        <f t="shared" si="75"/>
        <v>0</v>
      </c>
      <c r="H598" s="525">
        <f>IFERROR(VLOOKUP($B598,'3.Tasks'!$BK$4:$BO$23,2,FALSE),0)</f>
        <v>0</v>
      </c>
      <c r="I598" s="529">
        <f t="shared" si="78"/>
        <v>0</v>
      </c>
      <c r="J598" s="529">
        <f>IFERROR(VLOOKUP($B598,'3.Tasks'!$BK$4:$BO$23,3,FALSE),0)</f>
        <v>0</v>
      </c>
      <c r="K598" s="532">
        <v>0</v>
      </c>
      <c r="L598" s="529">
        <f>IFERROR(VLOOKUP($B598,'3.Tasks'!$BK$4:$BO$23,4,FALSE),0)</f>
        <v>0</v>
      </c>
      <c r="M598" s="532">
        <v>0</v>
      </c>
      <c r="N598" s="529">
        <f>IFERROR(VLOOKUP($B598,'3.Tasks'!$BK$4:$BO$23,5,FALSE),0)</f>
        <v>0</v>
      </c>
      <c r="O598" s="532">
        <v>0</v>
      </c>
      <c r="P598" s="530">
        <f t="shared" si="76"/>
        <v>0</v>
      </c>
    </row>
    <row r="599" spans="1:16">
      <c r="A599" s="529">
        <f t="shared" si="77"/>
        <v>20</v>
      </c>
      <c r="B599" s="529" t="s">
        <v>835</v>
      </c>
      <c r="C599" s="529" t="s">
        <v>35</v>
      </c>
      <c r="D599" s="529" t="str">
        <f>VLOOKUP(A599,Tabela8[[No.]:[Institution**]],9,FALSE)</f>
        <v>FCiências.ID</v>
      </c>
      <c r="E599" s="531" t="s">
        <v>41</v>
      </c>
      <c r="F599" s="529">
        <f>HLOOKUP(C599,'5.Equipments'!$AJ$2:$BC$22,(A599+1),FALSE)</f>
        <v>0</v>
      </c>
      <c r="G599" s="526">
        <f t="shared" si="75"/>
        <v>0</v>
      </c>
      <c r="H599" s="525">
        <f>IFERROR(VLOOKUP($B599,'3.Tasks'!$BK$4:$BO$23,2,FALSE),0)</f>
        <v>0</v>
      </c>
      <c r="I599" s="529">
        <f t="shared" si="78"/>
        <v>0</v>
      </c>
      <c r="J599" s="529">
        <f>IFERROR(VLOOKUP($B599,'3.Tasks'!$BK$4:$BO$23,3,FALSE),0)</f>
        <v>0</v>
      </c>
      <c r="K599" s="532">
        <v>0</v>
      </c>
      <c r="L599" s="529">
        <f>IFERROR(VLOOKUP($B599,'3.Tasks'!$BK$4:$BO$23,4,FALSE),0)</f>
        <v>0</v>
      </c>
      <c r="M599" s="532">
        <v>0</v>
      </c>
      <c r="N599" s="529">
        <f>IFERROR(VLOOKUP($B599,'3.Tasks'!$BK$4:$BO$23,5,FALSE),0)</f>
        <v>0</v>
      </c>
      <c r="O599" s="532">
        <v>0</v>
      </c>
      <c r="P599" s="530">
        <f t="shared" si="76"/>
        <v>0</v>
      </c>
    </row>
    <row r="600" spans="1:16">
      <c r="A600" s="529">
        <f t="shared" si="77"/>
        <v>20</v>
      </c>
      <c r="B600" s="529" t="s">
        <v>836</v>
      </c>
      <c r="C600" s="529" t="s">
        <v>36</v>
      </c>
      <c r="D600" s="529" t="str">
        <f>VLOOKUP(A600,Tabela8[[No.]:[Institution**]],9,FALSE)</f>
        <v>FCiências.ID</v>
      </c>
      <c r="E600" s="531" t="s">
        <v>41</v>
      </c>
      <c r="F600" s="529">
        <f>HLOOKUP(C600,'5.Equipments'!$AJ$2:$BC$22,(A600+1),FALSE)</f>
        <v>0</v>
      </c>
      <c r="G600" s="526">
        <f t="shared" si="75"/>
        <v>0</v>
      </c>
      <c r="H600" s="525">
        <f>IFERROR(VLOOKUP($B600,'3.Tasks'!$BK$4:$BO$23,2,FALSE),0)</f>
        <v>0</v>
      </c>
      <c r="I600" s="529">
        <f t="shared" si="78"/>
        <v>0</v>
      </c>
      <c r="J600" s="529">
        <f>IFERROR(VLOOKUP($B600,'3.Tasks'!$BK$4:$BO$23,3,FALSE),0)</f>
        <v>0</v>
      </c>
      <c r="K600" s="532">
        <v>0</v>
      </c>
      <c r="L600" s="529">
        <f>IFERROR(VLOOKUP($B600,'3.Tasks'!$BK$4:$BO$23,4,FALSE),0)</f>
        <v>0</v>
      </c>
      <c r="M600" s="532">
        <v>0</v>
      </c>
      <c r="N600" s="529">
        <f>IFERROR(VLOOKUP($B600,'3.Tasks'!$BK$4:$BO$23,5,FALSE),0)</f>
        <v>0</v>
      </c>
      <c r="O600" s="532">
        <v>0</v>
      </c>
      <c r="P600" s="530">
        <f t="shared" si="76"/>
        <v>0</v>
      </c>
    </row>
    <row r="601" spans="1:16">
      <c r="A601" s="529">
        <f t="shared" si="77"/>
        <v>20</v>
      </c>
      <c r="B601" s="529" t="s">
        <v>837</v>
      </c>
      <c r="C601" s="529" t="s">
        <v>37</v>
      </c>
      <c r="D601" s="529" t="str">
        <f>VLOOKUP(A601,Tabela8[[No.]:[Institution**]],9,FALSE)</f>
        <v>FCiências.ID</v>
      </c>
      <c r="E601" s="531" t="s">
        <v>41</v>
      </c>
      <c r="F601" s="529">
        <f>HLOOKUP(C601,'5.Equipments'!$AJ$2:$BC$22,(A601+1),FALSE)</f>
        <v>0</v>
      </c>
      <c r="G601" s="526">
        <f t="shared" si="75"/>
        <v>0</v>
      </c>
      <c r="H601" s="525">
        <f>IFERROR(VLOOKUP($B601,'3.Tasks'!$BK$4:$BO$23,2,FALSE),0)</f>
        <v>0</v>
      </c>
      <c r="I601" s="529">
        <f t="shared" si="78"/>
        <v>0</v>
      </c>
      <c r="J601" s="529">
        <f>IFERROR(VLOOKUP($B601,'3.Tasks'!$BK$4:$BO$23,3,FALSE),0)</f>
        <v>0</v>
      </c>
      <c r="K601" s="532">
        <v>0</v>
      </c>
      <c r="L601" s="529">
        <f>IFERROR(VLOOKUP($B601,'3.Tasks'!$BK$4:$BO$23,4,FALSE),0)</f>
        <v>0</v>
      </c>
      <c r="M601" s="532">
        <v>0</v>
      </c>
      <c r="N601" s="529">
        <f>IFERROR(VLOOKUP($B601,'3.Tasks'!$BK$4:$BO$23,5,FALSE),0)</f>
        <v>0</v>
      </c>
      <c r="O601" s="532">
        <v>0</v>
      </c>
      <c r="P601" s="530">
        <f t="shared" si="76"/>
        <v>0</v>
      </c>
    </row>
    <row r="602" spans="1:16">
      <c r="A602" s="529">
        <f>+'6.Other Exp. Categories'!A3</f>
        <v>1</v>
      </c>
      <c r="B602" s="529">
        <f>+'6.Other Exp. Categories'!F3</f>
        <v>0</v>
      </c>
      <c r="D602" s="529">
        <f>+'6.Other Exp. Categories'!E3</f>
        <v>0</v>
      </c>
      <c r="E602" s="531">
        <f>+'6.Other Exp. Categories'!B3</f>
        <v>0</v>
      </c>
      <c r="F602" s="529">
        <f>+'6.Other Exp. Categories'!C3</f>
        <v>0</v>
      </c>
      <c r="G602" s="526">
        <f t="shared" si="75"/>
        <v>0</v>
      </c>
      <c r="H602" s="525">
        <f>IFERROR(VLOOKUP($B602,'3.Tasks'!$BK$4:$BO$23,2,FALSE),0)</f>
        <v>0</v>
      </c>
      <c r="I602" s="529">
        <f t="shared" ref="I602:I665" si="79">IFERROR(($F602/$G602*H602),0)</f>
        <v>0</v>
      </c>
      <c r="J602" s="529">
        <f>IFERROR(VLOOKUP($B602,'3.Tasks'!$BK$4:$BO$23,3,FALSE),0)</f>
        <v>0</v>
      </c>
      <c r="K602" s="529">
        <f t="shared" ref="K602:K665" si="80">IFERROR(($F602/$G602*J602),0)</f>
        <v>0</v>
      </c>
      <c r="L602" s="529">
        <f>IFERROR(VLOOKUP($B602,'3.Tasks'!$BK$4:$BO$23,4,FALSE),0)</f>
        <v>0</v>
      </c>
      <c r="M602" s="529">
        <f t="shared" ref="M602:M665" si="81">IFERROR(($F602/$G602*L602),0)</f>
        <v>0</v>
      </c>
      <c r="N602" s="529">
        <f>IFERROR(VLOOKUP($B602,'3.Tasks'!$BK$4:$BO$23,5,FALSE),0)</f>
        <v>0</v>
      </c>
      <c r="O602" s="529">
        <f t="shared" ref="O602:O665" si="82">IFERROR(($F602/$G602*N602),0)</f>
        <v>0</v>
      </c>
      <c r="P602" s="530">
        <f t="shared" si="76"/>
        <v>0</v>
      </c>
    </row>
    <row r="603" spans="1:16">
      <c r="A603" s="529">
        <f>+'6.Other Exp. Categories'!A4</f>
        <v>2</v>
      </c>
      <c r="B603" s="529">
        <f>+'6.Other Exp. Categories'!F4</f>
        <v>0</v>
      </c>
      <c r="D603" s="529">
        <f>+'6.Other Exp. Categories'!E4</f>
        <v>0</v>
      </c>
      <c r="E603" s="531">
        <f>+'6.Other Exp. Categories'!B4</f>
        <v>0</v>
      </c>
      <c r="F603" s="529">
        <f>+'6.Other Exp. Categories'!C4</f>
        <v>0</v>
      </c>
      <c r="G603" s="526">
        <f t="shared" ref="G603:G666" si="83">IFERROR((H603+J603+L603+N603),0)</f>
        <v>0</v>
      </c>
      <c r="H603" s="525">
        <f>IFERROR(VLOOKUP($B603,'3.Tasks'!$BK$4:$BO$23,2,FALSE),0)</f>
        <v>0</v>
      </c>
      <c r="I603" s="529">
        <f t="shared" si="79"/>
        <v>0</v>
      </c>
      <c r="J603" s="529">
        <f>IFERROR(VLOOKUP($B603,'3.Tasks'!$BK$4:$BO$23,3,FALSE),0)</f>
        <v>0</v>
      </c>
      <c r="K603" s="529">
        <f t="shared" si="80"/>
        <v>0</v>
      </c>
      <c r="L603" s="529">
        <f>IFERROR(VLOOKUP($B603,'3.Tasks'!$BK$4:$BO$23,4,FALSE),0)</f>
        <v>0</v>
      </c>
      <c r="M603" s="529">
        <f t="shared" si="81"/>
        <v>0</v>
      </c>
      <c r="N603" s="529">
        <f>IFERROR(VLOOKUP($B603,'3.Tasks'!$BK$4:$BO$23,5,FALSE),0)</f>
        <v>0</v>
      </c>
      <c r="O603" s="529">
        <f t="shared" si="82"/>
        <v>0</v>
      </c>
      <c r="P603" s="530">
        <f t="shared" ref="P603:P666" si="84">+F603-I603-K603-M603-O603</f>
        <v>0</v>
      </c>
    </row>
    <row r="604" spans="1:16">
      <c r="A604" s="529">
        <f>+'6.Other Exp. Categories'!A5</f>
        <v>3</v>
      </c>
      <c r="B604" s="529">
        <f>+'6.Other Exp. Categories'!F5</f>
        <v>0</v>
      </c>
      <c r="D604" s="529">
        <f>+'6.Other Exp. Categories'!E5</f>
        <v>0</v>
      </c>
      <c r="E604" s="531">
        <f>+'6.Other Exp. Categories'!B5</f>
        <v>0</v>
      </c>
      <c r="F604" s="529">
        <f>+'6.Other Exp. Categories'!C5</f>
        <v>0</v>
      </c>
      <c r="G604" s="526">
        <f t="shared" si="83"/>
        <v>0</v>
      </c>
      <c r="H604" s="525">
        <f>IFERROR(VLOOKUP($B604,'3.Tasks'!$BK$4:$BO$23,2,FALSE),0)</f>
        <v>0</v>
      </c>
      <c r="I604" s="529">
        <f t="shared" si="79"/>
        <v>0</v>
      </c>
      <c r="J604" s="529">
        <f>IFERROR(VLOOKUP($B604,'3.Tasks'!$BK$4:$BO$23,3,FALSE),0)</f>
        <v>0</v>
      </c>
      <c r="K604" s="529">
        <f t="shared" si="80"/>
        <v>0</v>
      </c>
      <c r="L604" s="529">
        <f>IFERROR(VLOOKUP($B604,'3.Tasks'!$BK$4:$BO$23,4,FALSE),0)</f>
        <v>0</v>
      </c>
      <c r="M604" s="529">
        <f t="shared" si="81"/>
        <v>0</v>
      </c>
      <c r="N604" s="529">
        <f>IFERROR(VLOOKUP($B604,'3.Tasks'!$BK$4:$BO$23,5,FALSE),0)</f>
        <v>0</v>
      </c>
      <c r="O604" s="529">
        <f t="shared" si="82"/>
        <v>0</v>
      </c>
      <c r="P604" s="530">
        <f t="shared" si="84"/>
        <v>0</v>
      </c>
    </row>
    <row r="605" spans="1:16">
      <c r="A605" s="529">
        <f>+'6.Other Exp. Categories'!A6</f>
        <v>4</v>
      </c>
      <c r="B605" s="529">
        <f>+'6.Other Exp. Categories'!F6</f>
        <v>0</v>
      </c>
      <c r="D605" s="529">
        <f>+'6.Other Exp. Categories'!E6</f>
        <v>0</v>
      </c>
      <c r="E605" s="531">
        <f>+'6.Other Exp. Categories'!B6</f>
        <v>0</v>
      </c>
      <c r="F605" s="529">
        <f>+'6.Other Exp. Categories'!C6</f>
        <v>0</v>
      </c>
      <c r="G605" s="526">
        <f t="shared" si="83"/>
        <v>0</v>
      </c>
      <c r="H605" s="525">
        <f>IFERROR(VLOOKUP($B605,'3.Tasks'!$BK$4:$BO$23,2,FALSE),0)</f>
        <v>0</v>
      </c>
      <c r="I605" s="529">
        <f t="shared" si="79"/>
        <v>0</v>
      </c>
      <c r="J605" s="529">
        <f>IFERROR(VLOOKUP($B605,'3.Tasks'!$BK$4:$BO$23,3,FALSE),0)</f>
        <v>0</v>
      </c>
      <c r="K605" s="529">
        <f t="shared" si="80"/>
        <v>0</v>
      </c>
      <c r="L605" s="529">
        <f>IFERROR(VLOOKUP($B605,'3.Tasks'!$BK$4:$BO$23,4,FALSE),0)</f>
        <v>0</v>
      </c>
      <c r="M605" s="529">
        <f t="shared" si="81"/>
        <v>0</v>
      </c>
      <c r="N605" s="529">
        <f>IFERROR(VLOOKUP($B605,'3.Tasks'!$BK$4:$BO$23,5,FALSE),0)</f>
        <v>0</v>
      </c>
      <c r="O605" s="529">
        <f t="shared" si="82"/>
        <v>0</v>
      </c>
      <c r="P605" s="530">
        <f t="shared" si="84"/>
        <v>0</v>
      </c>
    </row>
    <row r="606" spans="1:16">
      <c r="A606" s="529">
        <f>+'6.Other Exp. Categories'!A7</f>
        <v>5</v>
      </c>
      <c r="B606" s="529">
        <f>+'6.Other Exp. Categories'!F7</f>
        <v>0</v>
      </c>
      <c r="D606" s="529">
        <f>+'6.Other Exp. Categories'!E7</f>
        <v>0</v>
      </c>
      <c r="E606" s="531">
        <f>+'6.Other Exp. Categories'!B7</f>
        <v>0</v>
      </c>
      <c r="F606" s="529">
        <f>+'6.Other Exp. Categories'!C7</f>
        <v>0</v>
      </c>
      <c r="G606" s="526">
        <f t="shared" si="83"/>
        <v>0</v>
      </c>
      <c r="H606" s="525">
        <f>IFERROR(VLOOKUP($B606,'3.Tasks'!$BK$4:$BO$23,2,FALSE),0)</f>
        <v>0</v>
      </c>
      <c r="I606" s="529">
        <f t="shared" si="79"/>
        <v>0</v>
      </c>
      <c r="J606" s="529">
        <f>IFERROR(VLOOKUP($B606,'3.Tasks'!$BK$4:$BO$23,3,FALSE),0)</f>
        <v>0</v>
      </c>
      <c r="K606" s="529">
        <f t="shared" si="80"/>
        <v>0</v>
      </c>
      <c r="L606" s="529">
        <f>IFERROR(VLOOKUP($B606,'3.Tasks'!$BK$4:$BO$23,4,FALSE),0)</f>
        <v>0</v>
      </c>
      <c r="M606" s="529">
        <f t="shared" si="81"/>
        <v>0</v>
      </c>
      <c r="N606" s="529">
        <f>IFERROR(VLOOKUP($B606,'3.Tasks'!$BK$4:$BO$23,5,FALSE),0)</f>
        <v>0</v>
      </c>
      <c r="O606" s="529">
        <f t="shared" si="82"/>
        <v>0</v>
      </c>
      <c r="P606" s="530">
        <f t="shared" si="84"/>
        <v>0</v>
      </c>
    </row>
    <row r="607" spans="1:16">
      <c r="A607" s="529">
        <f>+'6.Other Exp. Categories'!A8</f>
        <v>6</v>
      </c>
      <c r="B607" s="529">
        <f>+'6.Other Exp. Categories'!F8</f>
        <v>0</v>
      </c>
      <c r="D607" s="529">
        <f>+'6.Other Exp. Categories'!E8</f>
        <v>0</v>
      </c>
      <c r="E607" s="531">
        <f>+'6.Other Exp. Categories'!B8</f>
        <v>0</v>
      </c>
      <c r="F607" s="529">
        <f>+'6.Other Exp. Categories'!C8</f>
        <v>0</v>
      </c>
      <c r="G607" s="526">
        <f t="shared" si="83"/>
        <v>0</v>
      </c>
      <c r="H607" s="525">
        <f>IFERROR(VLOOKUP($B607,'3.Tasks'!$BK$4:$BO$23,2,FALSE),0)</f>
        <v>0</v>
      </c>
      <c r="I607" s="529">
        <f t="shared" si="79"/>
        <v>0</v>
      </c>
      <c r="J607" s="529">
        <f>IFERROR(VLOOKUP($B607,'3.Tasks'!$BK$4:$BO$23,3,FALSE),0)</f>
        <v>0</v>
      </c>
      <c r="K607" s="529">
        <f t="shared" si="80"/>
        <v>0</v>
      </c>
      <c r="L607" s="529">
        <f>IFERROR(VLOOKUP($B607,'3.Tasks'!$BK$4:$BO$23,4,FALSE),0)</f>
        <v>0</v>
      </c>
      <c r="M607" s="529">
        <f t="shared" si="81"/>
        <v>0</v>
      </c>
      <c r="N607" s="529">
        <f>IFERROR(VLOOKUP($B607,'3.Tasks'!$BK$4:$BO$23,5,FALSE),0)</f>
        <v>0</v>
      </c>
      <c r="O607" s="529">
        <f t="shared" si="82"/>
        <v>0</v>
      </c>
      <c r="P607" s="530">
        <f t="shared" si="84"/>
        <v>0</v>
      </c>
    </row>
    <row r="608" spans="1:16">
      <c r="A608" s="529">
        <f>+'6.Other Exp. Categories'!A9</f>
        <v>7</v>
      </c>
      <c r="B608" s="529">
        <f>+'6.Other Exp. Categories'!F9</f>
        <v>0</v>
      </c>
      <c r="D608" s="529">
        <f>+'6.Other Exp. Categories'!E9</f>
        <v>0</v>
      </c>
      <c r="E608" s="531">
        <f>+'6.Other Exp. Categories'!B9</f>
        <v>0</v>
      </c>
      <c r="F608" s="529">
        <f>+'6.Other Exp. Categories'!C9</f>
        <v>0</v>
      </c>
      <c r="G608" s="526">
        <f t="shared" si="83"/>
        <v>0</v>
      </c>
      <c r="H608" s="525">
        <f>IFERROR(VLOOKUP($B608,'3.Tasks'!$BK$4:$BO$23,2,FALSE),0)</f>
        <v>0</v>
      </c>
      <c r="I608" s="529">
        <f t="shared" si="79"/>
        <v>0</v>
      </c>
      <c r="J608" s="529">
        <f>IFERROR(VLOOKUP($B608,'3.Tasks'!$BK$4:$BO$23,3,FALSE),0)</f>
        <v>0</v>
      </c>
      <c r="K608" s="529">
        <f t="shared" si="80"/>
        <v>0</v>
      </c>
      <c r="L608" s="529">
        <f>IFERROR(VLOOKUP($B608,'3.Tasks'!$BK$4:$BO$23,4,FALSE),0)</f>
        <v>0</v>
      </c>
      <c r="M608" s="529">
        <f t="shared" si="81"/>
        <v>0</v>
      </c>
      <c r="N608" s="529">
        <f>IFERROR(VLOOKUP($B608,'3.Tasks'!$BK$4:$BO$23,5,FALSE),0)</f>
        <v>0</v>
      </c>
      <c r="O608" s="529">
        <f t="shared" si="82"/>
        <v>0</v>
      </c>
      <c r="P608" s="530">
        <f t="shared" si="84"/>
        <v>0</v>
      </c>
    </row>
    <row r="609" spans="1:16">
      <c r="A609" s="529">
        <f>+'6.Other Exp. Categories'!A10</f>
        <v>8</v>
      </c>
      <c r="B609" s="529">
        <f>+'6.Other Exp. Categories'!F10</f>
        <v>0</v>
      </c>
      <c r="D609" s="529">
        <f>+'6.Other Exp. Categories'!E10</f>
        <v>0</v>
      </c>
      <c r="E609" s="531">
        <f>+'6.Other Exp. Categories'!B10</f>
        <v>0</v>
      </c>
      <c r="F609" s="529">
        <f>+'6.Other Exp. Categories'!C10</f>
        <v>0</v>
      </c>
      <c r="G609" s="526">
        <f t="shared" si="83"/>
        <v>0</v>
      </c>
      <c r="H609" s="525">
        <f>IFERROR(VLOOKUP($B609,'3.Tasks'!$BK$4:$BO$23,2,FALSE),0)</f>
        <v>0</v>
      </c>
      <c r="I609" s="529">
        <f t="shared" si="79"/>
        <v>0</v>
      </c>
      <c r="J609" s="529">
        <f>IFERROR(VLOOKUP($B609,'3.Tasks'!$BK$4:$BO$23,3,FALSE),0)</f>
        <v>0</v>
      </c>
      <c r="K609" s="529">
        <f t="shared" si="80"/>
        <v>0</v>
      </c>
      <c r="L609" s="529">
        <f>IFERROR(VLOOKUP($B609,'3.Tasks'!$BK$4:$BO$23,4,FALSE),0)</f>
        <v>0</v>
      </c>
      <c r="M609" s="529">
        <f t="shared" si="81"/>
        <v>0</v>
      </c>
      <c r="N609" s="529">
        <f>IFERROR(VLOOKUP($B609,'3.Tasks'!$BK$4:$BO$23,5,FALSE),0)</f>
        <v>0</v>
      </c>
      <c r="O609" s="529">
        <f t="shared" si="82"/>
        <v>0</v>
      </c>
      <c r="P609" s="530">
        <f t="shared" si="84"/>
        <v>0</v>
      </c>
    </row>
    <row r="610" spans="1:16">
      <c r="A610" s="529">
        <f>+'6.Other Exp. Categories'!A11</f>
        <v>9</v>
      </c>
      <c r="B610" s="529">
        <f>+'6.Other Exp. Categories'!F11</f>
        <v>0</v>
      </c>
      <c r="D610" s="529">
        <f>+'6.Other Exp. Categories'!E11</f>
        <v>0</v>
      </c>
      <c r="E610" s="531">
        <f>+'6.Other Exp. Categories'!B11</f>
        <v>0</v>
      </c>
      <c r="F610" s="529">
        <f>+'6.Other Exp. Categories'!C11</f>
        <v>0</v>
      </c>
      <c r="G610" s="526">
        <f t="shared" si="83"/>
        <v>0</v>
      </c>
      <c r="H610" s="525">
        <f>IFERROR(VLOOKUP($B610,'3.Tasks'!$BK$4:$BO$23,2,FALSE),0)</f>
        <v>0</v>
      </c>
      <c r="I610" s="529">
        <f t="shared" si="79"/>
        <v>0</v>
      </c>
      <c r="J610" s="529">
        <f>IFERROR(VLOOKUP($B610,'3.Tasks'!$BK$4:$BO$23,3,FALSE),0)</f>
        <v>0</v>
      </c>
      <c r="K610" s="529">
        <f t="shared" si="80"/>
        <v>0</v>
      </c>
      <c r="L610" s="529">
        <f>IFERROR(VLOOKUP($B610,'3.Tasks'!$BK$4:$BO$23,4,FALSE),0)</f>
        <v>0</v>
      </c>
      <c r="M610" s="529">
        <f t="shared" si="81"/>
        <v>0</v>
      </c>
      <c r="N610" s="529">
        <f>IFERROR(VLOOKUP($B610,'3.Tasks'!$BK$4:$BO$23,5,FALSE),0)</f>
        <v>0</v>
      </c>
      <c r="O610" s="529">
        <f t="shared" si="82"/>
        <v>0</v>
      </c>
      <c r="P610" s="530">
        <f t="shared" si="84"/>
        <v>0</v>
      </c>
    </row>
    <row r="611" spans="1:16">
      <c r="A611" s="529">
        <f>+'6.Other Exp. Categories'!A12</f>
        <v>10</v>
      </c>
      <c r="B611" s="529">
        <f>+'6.Other Exp. Categories'!F12</f>
        <v>0</v>
      </c>
      <c r="D611" s="529">
        <f>+'6.Other Exp. Categories'!E12</f>
        <v>0</v>
      </c>
      <c r="E611" s="531">
        <f>+'6.Other Exp. Categories'!B12</f>
        <v>0</v>
      </c>
      <c r="F611" s="529">
        <f>+'6.Other Exp. Categories'!C12</f>
        <v>0</v>
      </c>
      <c r="G611" s="526">
        <f t="shared" si="83"/>
        <v>0</v>
      </c>
      <c r="H611" s="525">
        <f>IFERROR(VLOOKUP($B611,'3.Tasks'!$BK$4:$BO$23,2,FALSE),0)</f>
        <v>0</v>
      </c>
      <c r="I611" s="529">
        <f t="shared" si="79"/>
        <v>0</v>
      </c>
      <c r="J611" s="529">
        <f>IFERROR(VLOOKUP($B611,'3.Tasks'!$BK$4:$BO$23,3,FALSE),0)</f>
        <v>0</v>
      </c>
      <c r="K611" s="529">
        <f t="shared" si="80"/>
        <v>0</v>
      </c>
      <c r="L611" s="529">
        <f>IFERROR(VLOOKUP($B611,'3.Tasks'!$BK$4:$BO$23,4,FALSE),0)</f>
        <v>0</v>
      </c>
      <c r="M611" s="529">
        <f t="shared" si="81"/>
        <v>0</v>
      </c>
      <c r="N611" s="529">
        <f>IFERROR(VLOOKUP($B611,'3.Tasks'!$BK$4:$BO$23,5,FALSE),0)</f>
        <v>0</v>
      </c>
      <c r="O611" s="529">
        <f t="shared" si="82"/>
        <v>0</v>
      </c>
      <c r="P611" s="530">
        <f t="shared" si="84"/>
        <v>0</v>
      </c>
    </row>
    <row r="612" spans="1:16">
      <c r="A612" s="529">
        <f>+'6.Other Exp. Categories'!A13</f>
        <v>11</v>
      </c>
      <c r="B612" s="529">
        <f>+'6.Other Exp. Categories'!F13</f>
        <v>0</v>
      </c>
      <c r="D612" s="529">
        <f>+'6.Other Exp. Categories'!E13</f>
        <v>0</v>
      </c>
      <c r="E612" s="531">
        <f>+'6.Other Exp. Categories'!B13</f>
        <v>0</v>
      </c>
      <c r="F612" s="529">
        <f>+'6.Other Exp. Categories'!C13</f>
        <v>0</v>
      </c>
      <c r="G612" s="526">
        <f t="shared" si="83"/>
        <v>0</v>
      </c>
      <c r="H612" s="525">
        <f>IFERROR(VLOOKUP($B612,'3.Tasks'!$BK$4:$BO$23,2,FALSE),0)</f>
        <v>0</v>
      </c>
      <c r="I612" s="529">
        <f t="shared" si="79"/>
        <v>0</v>
      </c>
      <c r="J612" s="529">
        <f>IFERROR(VLOOKUP($B612,'3.Tasks'!$BK$4:$BO$23,3,FALSE),0)</f>
        <v>0</v>
      </c>
      <c r="K612" s="529">
        <f t="shared" si="80"/>
        <v>0</v>
      </c>
      <c r="L612" s="529">
        <f>IFERROR(VLOOKUP($B612,'3.Tasks'!$BK$4:$BO$23,4,FALSE),0)</f>
        <v>0</v>
      </c>
      <c r="M612" s="529">
        <f t="shared" si="81"/>
        <v>0</v>
      </c>
      <c r="N612" s="529">
        <f>IFERROR(VLOOKUP($B612,'3.Tasks'!$BK$4:$BO$23,5,FALSE),0)</f>
        <v>0</v>
      </c>
      <c r="O612" s="529">
        <f t="shared" si="82"/>
        <v>0</v>
      </c>
      <c r="P612" s="530">
        <f t="shared" si="84"/>
        <v>0</v>
      </c>
    </row>
    <row r="613" spans="1:16">
      <c r="A613" s="529">
        <f>+'6.Other Exp. Categories'!A14</f>
        <v>12</v>
      </c>
      <c r="B613" s="529">
        <f>+'6.Other Exp. Categories'!F14</f>
        <v>0</v>
      </c>
      <c r="D613" s="529">
        <f>+'6.Other Exp. Categories'!E14</f>
        <v>0</v>
      </c>
      <c r="E613" s="531">
        <f>+'6.Other Exp. Categories'!B14</f>
        <v>0</v>
      </c>
      <c r="F613" s="529">
        <f>+'6.Other Exp. Categories'!C14</f>
        <v>0</v>
      </c>
      <c r="G613" s="526">
        <f t="shared" si="83"/>
        <v>0</v>
      </c>
      <c r="H613" s="525">
        <f>IFERROR(VLOOKUP($B613,'3.Tasks'!$BK$4:$BO$23,2,FALSE),0)</f>
        <v>0</v>
      </c>
      <c r="I613" s="529">
        <f t="shared" si="79"/>
        <v>0</v>
      </c>
      <c r="J613" s="529">
        <f>IFERROR(VLOOKUP($B613,'3.Tasks'!$BK$4:$BO$23,3,FALSE),0)</f>
        <v>0</v>
      </c>
      <c r="K613" s="529">
        <f t="shared" si="80"/>
        <v>0</v>
      </c>
      <c r="L613" s="529">
        <f>IFERROR(VLOOKUP($B613,'3.Tasks'!$BK$4:$BO$23,4,FALSE),0)</f>
        <v>0</v>
      </c>
      <c r="M613" s="529">
        <f t="shared" si="81"/>
        <v>0</v>
      </c>
      <c r="N613" s="529">
        <f>IFERROR(VLOOKUP($B613,'3.Tasks'!$BK$4:$BO$23,5,FALSE),0)</f>
        <v>0</v>
      </c>
      <c r="O613" s="529">
        <f t="shared" si="82"/>
        <v>0</v>
      </c>
      <c r="P613" s="530">
        <f t="shared" si="84"/>
        <v>0</v>
      </c>
    </row>
    <row r="614" spans="1:16">
      <c r="A614" s="529">
        <f>+'6.Other Exp. Categories'!A15</f>
        <v>13</v>
      </c>
      <c r="B614" s="529">
        <f>+'6.Other Exp. Categories'!F15</f>
        <v>0</v>
      </c>
      <c r="D614" s="529">
        <f>+'6.Other Exp. Categories'!E15</f>
        <v>0</v>
      </c>
      <c r="E614" s="531">
        <f>+'6.Other Exp. Categories'!B15</f>
        <v>0</v>
      </c>
      <c r="F614" s="529">
        <f>+'6.Other Exp. Categories'!C15</f>
        <v>0</v>
      </c>
      <c r="G614" s="526">
        <f t="shared" si="83"/>
        <v>0</v>
      </c>
      <c r="H614" s="525">
        <f>IFERROR(VLOOKUP($B614,'3.Tasks'!$BK$4:$BO$23,2,FALSE),0)</f>
        <v>0</v>
      </c>
      <c r="I614" s="529">
        <f t="shared" si="79"/>
        <v>0</v>
      </c>
      <c r="J614" s="529">
        <f>IFERROR(VLOOKUP($B614,'3.Tasks'!$BK$4:$BO$23,3,FALSE),0)</f>
        <v>0</v>
      </c>
      <c r="K614" s="529">
        <f t="shared" si="80"/>
        <v>0</v>
      </c>
      <c r="L614" s="529">
        <f>IFERROR(VLOOKUP($B614,'3.Tasks'!$BK$4:$BO$23,4,FALSE),0)</f>
        <v>0</v>
      </c>
      <c r="M614" s="529">
        <f t="shared" si="81"/>
        <v>0</v>
      </c>
      <c r="N614" s="529">
        <f>IFERROR(VLOOKUP($B614,'3.Tasks'!$BK$4:$BO$23,5,FALSE),0)</f>
        <v>0</v>
      </c>
      <c r="O614" s="529">
        <f t="shared" si="82"/>
        <v>0</v>
      </c>
      <c r="P614" s="530">
        <f t="shared" si="84"/>
        <v>0</v>
      </c>
    </row>
    <row r="615" spans="1:16">
      <c r="A615" s="529">
        <f>+'6.Other Exp. Categories'!A16</f>
        <v>14</v>
      </c>
      <c r="B615" s="529">
        <f>+'6.Other Exp. Categories'!F16</f>
        <v>0</v>
      </c>
      <c r="D615" s="529">
        <f>+'6.Other Exp. Categories'!E16</f>
        <v>0</v>
      </c>
      <c r="E615" s="531">
        <f>+'6.Other Exp. Categories'!B16</f>
        <v>0</v>
      </c>
      <c r="F615" s="529">
        <f>+'6.Other Exp. Categories'!C16</f>
        <v>0</v>
      </c>
      <c r="G615" s="526">
        <f t="shared" si="83"/>
        <v>0</v>
      </c>
      <c r="H615" s="525">
        <f>IFERROR(VLOOKUP($B615,'3.Tasks'!$BK$4:$BO$23,2,FALSE),0)</f>
        <v>0</v>
      </c>
      <c r="I615" s="529">
        <f t="shared" si="79"/>
        <v>0</v>
      </c>
      <c r="J615" s="529">
        <f>IFERROR(VLOOKUP($B615,'3.Tasks'!$BK$4:$BO$23,3,FALSE),0)</f>
        <v>0</v>
      </c>
      <c r="K615" s="529">
        <f t="shared" si="80"/>
        <v>0</v>
      </c>
      <c r="L615" s="529">
        <f>IFERROR(VLOOKUP($B615,'3.Tasks'!$BK$4:$BO$23,4,FALSE),0)</f>
        <v>0</v>
      </c>
      <c r="M615" s="529">
        <f t="shared" si="81"/>
        <v>0</v>
      </c>
      <c r="N615" s="529">
        <f>IFERROR(VLOOKUP($B615,'3.Tasks'!$BK$4:$BO$23,5,FALSE),0)</f>
        <v>0</v>
      </c>
      <c r="O615" s="529">
        <f t="shared" si="82"/>
        <v>0</v>
      </c>
      <c r="P615" s="530">
        <f t="shared" si="84"/>
        <v>0</v>
      </c>
    </row>
    <row r="616" spans="1:16">
      <c r="A616" s="529">
        <f>+'6.Other Exp. Categories'!A17</f>
        <v>15</v>
      </c>
      <c r="B616" s="529">
        <f>+'6.Other Exp. Categories'!F17</f>
        <v>0</v>
      </c>
      <c r="D616" s="529">
        <f>+'6.Other Exp. Categories'!E17</f>
        <v>0</v>
      </c>
      <c r="E616" s="531">
        <f>+'6.Other Exp. Categories'!B17</f>
        <v>0</v>
      </c>
      <c r="F616" s="529">
        <f>+'6.Other Exp. Categories'!C17</f>
        <v>0</v>
      </c>
      <c r="G616" s="526">
        <f t="shared" si="83"/>
        <v>0</v>
      </c>
      <c r="H616" s="525">
        <f>IFERROR(VLOOKUP($B616,'3.Tasks'!$BK$4:$BO$23,2,FALSE),0)</f>
        <v>0</v>
      </c>
      <c r="I616" s="529">
        <f t="shared" si="79"/>
        <v>0</v>
      </c>
      <c r="J616" s="529">
        <f>IFERROR(VLOOKUP($B616,'3.Tasks'!$BK$4:$BO$23,3,FALSE),0)</f>
        <v>0</v>
      </c>
      <c r="K616" s="529">
        <f t="shared" si="80"/>
        <v>0</v>
      </c>
      <c r="L616" s="529">
        <f>IFERROR(VLOOKUP($B616,'3.Tasks'!$BK$4:$BO$23,4,FALSE),0)</f>
        <v>0</v>
      </c>
      <c r="M616" s="529">
        <f t="shared" si="81"/>
        <v>0</v>
      </c>
      <c r="N616" s="529">
        <f>IFERROR(VLOOKUP($B616,'3.Tasks'!$BK$4:$BO$23,5,FALSE),0)</f>
        <v>0</v>
      </c>
      <c r="O616" s="529">
        <f t="shared" si="82"/>
        <v>0</v>
      </c>
      <c r="P616" s="530">
        <f t="shared" si="84"/>
        <v>0</v>
      </c>
    </row>
    <row r="617" spans="1:16">
      <c r="A617" s="529">
        <f>+'6.Other Exp. Categories'!A18</f>
        <v>16</v>
      </c>
      <c r="B617" s="529">
        <f>+'6.Other Exp. Categories'!F18</f>
        <v>0</v>
      </c>
      <c r="D617" s="529">
        <f>+'6.Other Exp. Categories'!E18</f>
        <v>0</v>
      </c>
      <c r="E617" s="531">
        <f>+'6.Other Exp. Categories'!B18</f>
        <v>0</v>
      </c>
      <c r="F617" s="529">
        <f>+'6.Other Exp. Categories'!C18</f>
        <v>0</v>
      </c>
      <c r="G617" s="526">
        <f t="shared" si="83"/>
        <v>0</v>
      </c>
      <c r="H617" s="525">
        <f>IFERROR(VLOOKUP($B617,'3.Tasks'!$BK$4:$BO$23,2,FALSE),0)</f>
        <v>0</v>
      </c>
      <c r="I617" s="529">
        <f t="shared" si="79"/>
        <v>0</v>
      </c>
      <c r="J617" s="529">
        <f>IFERROR(VLOOKUP($B617,'3.Tasks'!$BK$4:$BO$23,3,FALSE),0)</f>
        <v>0</v>
      </c>
      <c r="K617" s="529">
        <f t="shared" si="80"/>
        <v>0</v>
      </c>
      <c r="L617" s="529">
        <f>IFERROR(VLOOKUP($B617,'3.Tasks'!$BK$4:$BO$23,4,FALSE),0)</f>
        <v>0</v>
      </c>
      <c r="M617" s="529">
        <f t="shared" si="81"/>
        <v>0</v>
      </c>
      <c r="N617" s="529">
        <f>IFERROR(VLOOKUP($B617,'3.Tasks'!$BK$4:$BO$23,5,FALSE),0)</f>
        <v>0</v>
      </c>
      <c r="O617" s="529">
        <f t="shared" si="82"/>
        <v>0</v>
      </c>
      <c r="P617" s="530">
        <f t="shared" si="84"/>
        <v>0</v>
      </c>
    </row>
    <row r="618" spans="1:16">
      <c r="A618" s="529">
        <f>+'6.Other Exp. Categories'!A19</f>
        <v>17</v>
      </c>
      <c r="B618" s="529">
        <f>+'6.Other Exp. Categories'!F19</f>
        <v>0</v>
      </c>
      <c r="D618" s="529">
        <f>+'6.Other Exp. Categories'!E19</f>
        <v>0</v>
      </c>
      <c r="E618" s="531">
        <f>+'6.Other Exp. Categories'!B19</f>
        <v>0</v>
      </c>
      <c r="F618" s="529">
        <f>+'6.Other Exp. Categories'!C19</f>
        <v>0</v>
      </c>
      <c r="G618" s="526">
        <f t="shared" si="83"/>
        <v>0</v>
      </c>
      <c r="H618" s="525">
        <f>IFERROR(VLOOKUP($B618,'3.Tasks'!$BK$4:$BO$23,2,FALSE),0)</f>
        <v>0</v>
      </c>
      <c r="I618" s="529">
        <f t="shared" si="79"/>
        <v>0</v>
      </c>
      <c r="J618" s="529">
        <f>IFERROR(VLOOKUP($B618,'3.Tasks'!$BK$4:$BO$23,3,FALSE),0)</f>
        <v>0</v>
      </c>
      <c r="K618" s="529">
        <f t="shared" si="80"/>
        <v>0</v>
      </c>
      <c r="L618" s="529">
        <f>IFERROR(VLOOKUP($B618,'3.Tasks'!$BK$4:$BO$23,4,FALSE),0)</f>
        <v>0</v>
      </c>
      <c r="M618" s="529">
        <f t="shared" si="81"/>
        <v>0</v>
      </c>
      <c r="N618" s="529">
        <f>IFERROR(VLOOKUP($B618,'3.Tasks'!$BK$4:$BO$23,5,FALSE),0)</f>
        <v>0</v>
      </c>
      <c r="O618" s="529">
        <f t="shared" si="82"/>
        <v>0</v>
      </c>
      <c r="P618" s="530">
        <f t="shared" si="84"/>
        <v>0</v>
      </c>
    </row>
    <row r="619" spans="1:16">
      <c r="A619" s="529">
        <f>+'6.Other Exp. Categories'!A20</f>
        <v>18</v>
      </c>
      <c r="B619" s="529">
        <f>+'6.Other Exp. Categories'!F20</f>
        <v>0</v>
      </c>
      <c r="D619" s="529">
        <f>+'6.Other Exp. Categories'!E20</f>
        <v>0</v>
      </c>
      <c r="E619" s="531">
        <f>+'6.Other Exp. Categories'!B20</f>
        <v>0</v>
      </c>
      <c r="F619" s="529">
        <f>+'6.Other Exp. Categories'!C20</f>
        <v>0</v>
      </c>
      <c r="G619" s="526">
        <f t="shared" si="83"/>
        <v>0</v>
      </c>
      <c r="H619" s="525">
        <f>IFERROR(VLOOKUP($B619,'3.Tasks'!$BK$4:$BO$23,2,FALSE),0)</f>
        <v>0</v>
      </c>
      <c r="I619" s="529">
        <f t="shared" si="79"/>
        <v>0</v>
      </c>
      <c r="J619" s="529">
        <f>IFERROR(VLOOKUP($B619,'3.Tasks'!$BK$4:$BO$23,3,FALSE),0)</f>
        <v>0</v>
      </c>
      <c r="K619" s="529">
        <f t="shared" si="80"/>
        <v>0</v>
      </c>
      <c r="L619" s="529">
        <f>IFERROR(VLOOKUP($B619,'3.Tasks'!$BK$4:$BO$23,4,FALSE),0)</f>
        <v>0</v>
      </c>
      <c r="M619" s="529">
        <f t="shared" si="81"/>
        <v>0</v>
      </c>
      <c r="N619" s="529">
        <f>IFERROR(VLOOKUP($B619,'3.Tasks'!$BK$4:$BO$23,5,FALSE),0)</f>
        <v>0</v>
      </c>
      <c r="O619" s="529">
        <f t="shared" si="82"/>
        <v>0</v>
      </c>
      <c r="P619" s="530">
        <f t="shared" si="84"/>
        <v>0</v>
      </c>
    </row>
    <row r="620" spans="1:16">
      <c r="A620" s="529">
        <f>+'6.Other Exp. Categories'!A21</f>
        <v>19</v>
      </c>
      <c r="B620" s="529">
        <f>+'6.Other Exp. Categories'!F21</f>
        <v>0</v>
      </c>
      <c r="D620" s="529">
        <f>+'6.Other Exp. Categories'!E21</f>
        <v>0</v>
      </c>
      <c r="E620" s="531">
        <f>+'6.Other Exp. Categories'!B21</f>
        <v>0</v>
      </c>
      <c r="F620" s="529">
        <f>+'6.Other Exp. Categories'!C21</f>
        <v>0</v>
      </c>
      <c r="G620" s="526">
        <f t="shared" si="83"/>
        <v>0</v>
      </c>
      <c r="H620" s="525">
        <f>IFERROR(VLOOKUP($B620,'3.Tasks'!$BK$4:$BO$23,2,FALSE),0)</f>
        <v>0</v>
      </c>
      <c r="I620" s="529">
        <f t="shared" si="79"/>
        <v>0</v>
      </c>
      <c r="J620" s="529">
        <f>IFERROR(VLOOKUP($B620,'3.Tasks'!$BK$4:$BO$23,3,FALSE),0)</f>
        <v>0</v>
      </c>
      <c r="K620" s="529">
        <f t="shared" si="80"/>
        <v>0</v>
      </c>
      <c r="L620" s="529">
        <f>IFERROR(VLOOKUP($B620,'3.Tasks'!$BK$4:$BO$23,4,FALSE),0)</f>
        <v>0</v>
      </c>
      <c r="M620" s="529">
        <f t="shared" si="81"/>
        <v>0</v>
      </c>
      <c r="N620" s="529">
        <f>IFERROR(VLOOKUP($B620,'3.Tasks'!$BK$4:$BO$23,5,FALSE),0)</f>
        <v>0</v>
      </c>
      <c r="O620" s="529">
        <f t="shared" si="82"/>
        <v>0</v>
      </c>
      <c r="P620" s="530">
        <f t="shared" si="84"/>
        <v>0</v>
      </c>
    </row>
    <row r="621" spans="1:16">
      <c r="A621" s="529">
        <f>+'6.Other Exp. Categories'!A22</f>
        <v>20</v>
      </c>
      <c r="B621" s="529">
        <f>+'6.Other Exp. Categories'!F22</f>
        <v>0</v>
      </c>
      <c r="D621" s="529">
        <f>+'6.Other Exp. Categories'!E22</f>
        <v>0</v>
      </c>
      <c r="E621" s="531">
        <f>+'6.Other Exp. Categories'!B22</f>
        <v>0</v>
      </c>
      <c r="F621" s="529">
        <f>+'6.Other Exp. Categories'!C22</f>
        <v>0</v>
      </c>
      <c r="G621" s="526">
        <f t="shared" si="83"/>
        <v>0</v>
      </c>
      <c r="H621" s="525">
        <f>IFERROR(VLOOKUP($B621,'3.Tasks'!$BK$4:$BO$23,2,FALSE),0)</f>
        <v>0</v>
      </c>
      <c r="I621" s="529">
        <f t="shared" si="79"/>
        <v>0</v>
      </c>
      <c r="J621" s="529">
        <f>IFERROR(VLOOKUP($B621,'3.Tasks'!$BK$4:$BO$23,3,FALSE),0)</f>
        <v>0</v>
      </c>
      <c r="K621" s="529">
        <f t="shared" si="80"/>
        <v>0</v>
      </c>
      <c r="L621" s="529">
        <f>IFERROR(VLOOKUP($B621,'3.Tasks'!$BK$4:$BO$23,4,FALSE),0)</f>
        <v>0</v>
      </c>
      <c r="M621" s="529">
        <f t="shared" si="81"/>
        <v>0</v>
      </c>
      <c r="N621" s="529">
        <f>IFERROR(VLOOKUP($B621,'3.Tasks'!$BK$4:$BO$23,5,FALSE),0)</f>
        <v>0</v>
      </c>
      <c r="O621" s="529">
        <f t="shared" si="82"/>
        <v>0</v>
      </c>
      <c r="P621" s="530">
        <f t="shared" si="84"/>
        <v>0</v>
      </c>
    </row>
    <row r="622" spans="1:16">
      <c r="A622" s="529">
        <f>+'6.Other Exp. Categories'!A23</f>
        <v>21</v>
      </c>
      <c r="B622" s="529">
        <f>+'6.Other Exp. Categories'!F23</f>
        <v>0</v>
      </c>
      <c r="D622" s="529">
        <f>+'6.Other Exp. Categories'!E23</f>
        <v>0</v>
      </c>
      <c r="E622" s="531">
        <f>+'6.Other Exp. Categories'!B23</f>
        <v>0</v>
      </c>
      <c r="F622" s="529">
        <f>+'6.Other Exp. Categories'!C23</f>
        <v>0</v>
      </c>
      <c r="G622" s="526">
        <f t="shared" si="83"/>
        <v>0</v>
      </c>
      <c r="H622" s="525">
        <f>IFERROR(VLOOKUP($B622,'3.Tasks'!$BK$4:$BO$23,2,FALSE),0)</f>
        <v>0</v>
      </c>
      <c r="I622" s="529">
        <f t="shared" si="79"/>
        <v>0</v>
      </c>
      <c r="J622" s="529">
        <f>IFERROR(VLOOKUP($B622,'3.Tasks'!$BK$4:$BO$23,3,FALSE),0)</f>
        <v>0</v>
      </c>
      <c r="K622" s="529">
        <f t="shared" si="80"/>
        <v>0</v>
      </c>
      <c r="L622" s="529">
        <f>IFERROR(VLOOKUP($B622,'3.Tasks'!$BK$4:$BO$23,4,FALSE),0)</f>
        <v>0</v>
      </c>
      <c r="M622" s="529">
        <f t="shared" si="81"/>
        <v>0</v>
      </c>
      <c r="N622" s="529">
        <f>IFERROR(VLOOKUP($B622,'3.Tasks'!$BK$4:$BO$23,5,FALSE),0)</f>
        <v>0</v>
      </c>
      <c r="O622" s="529">
        <f t="shared" si="82"/>
        <v>0</v>
      </c>
      <c r="P622" s="530">
        <f t="shared" si="84"/>
        <v>0</v>
      </c>
    </row>
    <row r="623" spans="1:16">
      <c r="A623" s="529">
        <f>+'6.Other Exp. Categories'!A24</f>
        <v>22</v>
      </c>
      <c r="B623" s="529">
        <f>+'6.Other Exp. Categories'!F24</f>
        <v>0</v>
      </c>
      <c r="D623" s="529">
        <f>+'6.Other Exp. Categories'!E24</f>
        <v>0</v>
      </c>
      <c r="E623" s="531">
        <f>+'6.Other Exp. Categories'!B24</f>
        <v>0</v>
      </c>
      <c r="F623" s="529">
        <f>+'6.Other Exp. Categories'!C24</f>
        <v>0</v>
      </c>
      <c r="G623" s="526">
        <f t="shared" si="83"/>
        <v>0</v>
      </c>
      <c r="H623" s="525">
        <f>IFERROR(VLOOKUP($B623,'3.Tasks'!$BK$4:$BO$23,2,FALSE),0)</f>
        <v>0</v>
      </c>
      <c r="I623" s="529">
        <f t="shared" si="79"/>
        <v>0</v>
      </c>
      <c r="J623" s="529">
        <f>IFERROR(VLOOKUP($B623,'3.Tasks'!$BK$4:$BO$23,3,FALSE),0)</f>
        <v>0</v>
      </c>
      <c r="K623" s="529">
        <f t="shared" si="80"/>
        <v>0</v>
      </c>
      <c r="L623" s="529">
        <f>IFERROR(VLOOKUP($B623,'3.Tasks'!$BK$4:$BO$23,4,FALSE),0)</f>
        <v>0</v>
      </c>
      <c r="M623" s="529">
        <f t="shared" si="81"/>
        <v>0</v>
      </c>
      <c r="N623" s="529">
        <f>IFERROR(VLOOKUP($B623,'3.Tasks'!$BK$4:$BO$23,5,FALSE),0)</f>
        <v>0</v>
      </c>
      <c r="O623" s="529">
        <f t="shared" si="82"/>
        <v>0</v>
      </c>
      <c r="P623" s="530">
        <f t="shared" si="84"/>
        <v>0</v>
      </c>
    </row>
    <row r="624" spans="1:16">
      <c r="A624" s="529">
        <f>+'6.Other Exp. Categories'!A25</f>
        <v>23</v>
      </c>
      <c r="B624" s="529">
        <f>+'6.Other Exp. Categories'!F25</f>
        <v>0</v>
      </c>
      <c r="D624" s="529">
        <f>+'6.Other Exp. Categories'!E25</f>
        <v>0</v>
      </c>
      <c r="E624" s="531">
        <f>+'6.Other Exp. Categories'!B25</f>
        <v>0</v>
      </c>
      <c r="F624" s="529">
        <f>+'6.Other Exp. Categories'!C25</f>
        <v>0</v>
      </c>
      <c r="G624" s="526">
        <f t="shared" si="83"/>
        <v>0</v>
      </c>
      <c r="H624" s="525">
        <f>IFERROR(VLOOKUP($B624,'3.Tasks'!$BK$4:$BO$23,2,FALSE),0)</f>
        <v>0</v>
      </c>
      <c r="I624" s="529">
        <f t="shared" si="79"/>
        <v>0</v>
      </c>
      <c r="J624" s="529">
        <f>IFERROR(VLOOKUP($B624,'3.Tasks'!$BK$4:$BO$23,3,FALSE),0)</f>
        <v>0</v>
      </c>
      <c r="K624" s="529">
        <f t="shared" si="80"/>
        <v>0</v>
      </c>
      <c r="L624" s="529">
        <f>IFERROR(VLOOKUP($B624,'3.Tasks'!$BK$4:$BO$23,4,FALSE),0)</f>
        <v>0</v>
      </c>
      <c r="M624" s="529">
        <f t="shared" si="81"/>
        <v>0</v>
      </c>
      <c r="N624" s="529">
        <f>IFERROR(VLOOKUP($B624,'3.Tasks'!$BK$4:$BO$23,5,FALSE),0)</f>
        <v>0</v>
      </c>
      <c r="O624" s="529">
        <f t="shared" si="82"/>
        <v>0</v>
      </c>
      <c r="P624" s="530">
        <f t="shared" si="84"/>
        <v>0</v>
      </c>
    </row>
    <row r="625" spans="1:16">
      <c r="A625" s="529">
        <f>+'6.Other Exp. Categories'!A26</f>
        <v>24</v>
      </c>
      <c r="B625" s="529">
        <f>+'6.Other Exp. Categories'!F26</f>
        <v>0</v>
      </c>
      <c r="D625" s="529">
        <f>+'6.Other Exp. Categories'!E26</f>
        <v>0</v>
      </c>
      <c r="E625" s="531">
        <f>+'6.Other Exp. Categories'!B26</f>
        <v>0</v>
      </c>
      <c r="F625" s="529">
        <f>+'6.Other Exp. Categories'!C26</f>
        <v>0</v>
      </c>
      <c r="G625" s="526">
        <f t="shared" si="83"/>
        <v>0</v>
      </c>
      <c r="H625" s="525">
        <f>IFERROR(VLOOKUP($B625,'3.Tasks'!$BK$4:$BO$23,2,FALSE),0)</f>
        <v>0</v>
      </c>
      <c r="I625" s="529">
        <f t="shared" si="79"/>
        <v>0</v>
      </c>
      <c r="J625" s="529">
        <f>IFERROR(VLOOKUP($B625,'3.Tasks'!$BK$4:$BO$23,3,FALSE),0)</f>
        <v>0</v>
      </c>
      <c r="K625" s="529">
        <f t="shared" si="80"/>
        <v>0</v>
      </c>
      <c r="L625" s="529">
        <f>IFERROR(VLOOKUP($B625,'3.Tasks'!$BK$4:$BO$23,4,FALSE),0)</f>
        <v>0</v>
      </c>
      <c r="M625" s="529">
        <f t="shared" si="81"/>
        <v>0</v>
      </c>
      <c r="N625" s="529">
        <f>IFERROR(VLOOKUP($B625,'3.Tasks'!$BK$4:$BO$23,5,FALSE),0)</f>
        <v>0</v>
      </c>
      <c r="O625" s="529">
        <f t="shared" si="82"/>
        <v>0</v>
      </c>
      <c r="P625" s="530">
        <f t="shared" si="84"/>
        <v>0</v>
      </c>
    </row>
    <row r="626" spans="1:16">
      <c r="A626" s="529">
        <f>+'6.Other Exp. Categories'!A27</f>
        <v>25</v>
      </c>
      <c r="B626" s="529">
        <f>+'6.Other Exp. Categories'!F27</f>
        <v>0</v>
      </c>
      <c r="D626" s="529">
        <f>+'6.Other Exp. Categories'!E27</f>
        <v>0</v>
      </c>
      <c r="E626" s="531">
        <f>+'6.Other Exp. Categories'!B27</f>
        <v>0</v>
      </c>
      <c r="F626" s="529">
        <f>+'6.Other Exp. Categories'!C27</f>
        <v>0</v>
      </c>
      <c r="G626" s="526">
        <f t="shared" si="83"/>
        <v>0</v>
      </c>
      <c r="H626" s="525">
        <f>IFERROR(VLOOKUP($B626,'3.Tasks'!$BK$4:$BO$23,2,FALSE),0)</f>
        <v>0</v>
      </c>
      <c r="I626" s="529">
        <f t="shared" si="79"/>
        <v>0</v>
      </c>
      <c r="J626" s="529">
        <f>IFERROR(VLOOKUP($B626,'3.Tasks'!$BK$4:$BO$23,3,FALSE),0)</f>
        <v>0</v>
      </c>
      <c r="K626" s="529">
        <f t="shared" si="80"/>
        <v>0</v>
      </c>
      <c r="L626" s="529">
        <f>IFERROR(VLOOKUP($B626,'3.Tasks'!$BK$4:$BO$23,4,FALSE),0)</f>
        <v>0</v>
      </c>
      <c r="M626" s="529">
        <f t="shared" si="81"/>
        <v>0</v>
      </c>
      <c r="N626" s="529">
        <f>IFERROR(VLOOKUP($B626,'3.Tasks'!$BK$4:$BO$23,5,FALSE),0)</f>
        <v>0</v>
      </c>
      <c r="O626" s="529">
        <f t="shared" si="82"/>
        <v>0</v>
      </c>
      <c r="P626" s="530">
        <f t="shared" si="84"/>
        <v>0</v>
      </c>
    </row>
    <row r="627" spans="1:16">
      <c r="A627" s="529">
        <f>+'6.Other Exp. Categories'!A28</f>
        <v>26</v>
      </c>
      <c r="B627" s="529">
        <f>+'6.Other Exp. Categories'!F28</f>
        <v>0</v>
      </c>
      <c r="D627" s="529">
        <f>+'6.Other Exp. Categories'!E28</f>
        <v>0</v>
      </c>
      <c r="E627" s="531">
        <f>+'6.Other Exp. Categories'!B28</f>
        <v>0</v>
      </c>
      <c r="F627" s="529">
        <f>+'6.Other Exp. Categories'!C28</f>
        <v>0</v>
      </c>
      <c r="G627" s="526">
        <f t="shared" si="83"/>
        <v>0</v>
      </c>
      <c r="H627" s="525">
        <f>IFERROR(VLOOKUP($B627,'3.Tasks'!$BK$4:$BO$23,2,FALSE),0)</f>
        <v>0</v>
      </c>
      <c r="I627" s="529">
        <f t="shared" si="79"/>
        <v>0</v>
      </c>
      <c r="J627" s="529">
        <f>IFERROR(VLOOKUP($B627,'3.Tasks'!$BK$4:$BO$23,3,FALSE),0)</f>
        <v>0</v>
      </c>
      <c r="K627" s="529">
        <f t="shared" si="80"/>
        <v>0</v>
      </c>
      <c r="L627" s="529">
        <f>IFERROR(VLOOKUP($B627,'3.Tasks'!$BK$4:$BO$23,4,FALSE),0)</f>
        <v>0</v>
      </c>
      <c r="M627" s="529">
        <f t="shared" si="81"/>
        <v>0</v>
      </c>
      <c r="N627" s="529">
        <f>IFERROR(VLOOKUP($B627,'3.Tasks'!$BK$4:$BO$23,5,FALSE),0)</f>
        <v>0</v>
      </c>
      <c r="O627" s="529">
        <f t="shared" si="82"/>
        <v>0</v>
      </c>
      <c r="P627" s="530">
        <f t="shared" si="84"/>
        <v>0</v>
      </c>
    </row>
    <row r="628" spans="1:16">
      <c r="A628" s="529">
        <f>+'6.Other Exp. Categories'!A29</f>
        <v>27</v>
      </c>
      <c r="B628" s="529">
        <f>+'6.Other Exp. Categories'!F29</f>
        <v>0</v>
      </c>
      <c r="D628" s="529">
        <f>+'6.Other Exp. Categories'!E29</f>
        <v>0</v>
      </c>
      <c r="E628" s="531">
        <f>+'6.Other Exp. Categories'!B29</f>
        <v>0</v>
      </c>
      <c r="F628" s="529">
        <f>+'6.Other Exp. Categories'!C29</f>
        <v>0</v>
      </c>
      <c r="G628" s="526">
        <f t="shared" si="83"/>
        <v>0</v>
      </c>
      <c r="H628" s="525">
        <f>IFERROR(VLOOKUP($B628,'3.Tasks'!$BK$4:$BO$23,2,FALSE),0)</f>
        <v>0</v>
      </c>
      <c r="I628" s="529">
        <f t="shared" si="79"/>
        <v>0</v>
      </c>
      <c r="J628" s="529">
        <f>IFERROR(VLOOKUP($B628,'3.Tasks'!$BK$4:$BO$23,3,FALSE),0)</f>
        <v>0</v>
      </c>
      <c r="K628" s="529">
        <f t="shared" si="80"/>
        <v>0</v>
      </c>
      <c r="L628" s="529">
        <f>IFERROR(VLOOKUP($B628,'3.Tasks'!$BK$4:$BO$23,4,FALSE),0)</f>
        <v>0</v>
      </c>
      <c r="M628" s="529">
        <f t="shared" si="81"/>
        <v>0</v>
      </c>
      <c r="N628" s="529">
        <f>IFERROR(VLOOKUP($B628,'3.Tasks'!$BK$4:$BO$23,5,FALSE),0)</f>
        <v>0</v>
      </c>
      <c r="O628" s="529">
        <f t="shared" si="82"/>
        <v>0</v>
      </c>
      <c r="P628" s="530">
        <f t="shared" si="84"/>
        <v>0</v>
      </c>
    </row>
    <row r="629" spans="1:16">
      <c r="A629" s="529">
        <f>+'6.Other Exp. Categories'!A30</f>
        <v>28</v>
      </c>
      <c r="B629" s="529">
        <f>+'6.Other Exp. Categories'!F30</f>
        <v>0</v>
      </c>
      <c r="D629" s="529">
        <f>+'6.Other Exp. Categories'!E30</f>
        <v>0</v>
      </c>
      <c r="E629" s="531">
        <f>+'6.Other Exp. Categories'!B30</f>
        <v>0</v>
      </c>
      <c r="F629" s="529">
        <f>+'6.Other Exp. Categories'!C30</f>
        <v>0</v>
      </c>
      <c r="G629" s="526">
        <f t="shared" si="83"/>
        <v>0</v>
      </c>
      <c r="H629" s="525">
        <f>IFERROR(VLOOKUP($B629,'3.Tasks'!$BK$4:$BO$23,2,FALSE),0)</f>
        <v>0</v>
      </c>
      <c r="I629" s="529">
        <f t="shared" si="79"/>
        <v>0</v>
      </c>
      <c r="J629" s="529">
        <f>IFERROR(VLOOKUP($B629,'3.Tasks'!$BK$4:$BO$23,3,FALSE),0)</f>
        <v>0</v>
      </c>
      <c r="K629" s="529">
        <f t="shared" si="80"/>
        <v>0</v>
      </c>
      <c r="L629" s="529">
        <f>IFERROR(VLOOKUP($B629,'3.Tasks'!$BK$4:$BO$23,4,FALSE),0)</f>
        <v>0</v>
      </c>
      <c r="M629" s="529">
        <f t="shared" si="81"/>
        <v>0</v>
      </c>
      <c r="N629" s="529">
        <f>IFERROR(VLOOKUP($B629,'3.Tasks'!$BK$4:$BO$23,5,FALSE),0)</f>
        <v>0</v>
      </c>
      <c r="O629" s="529">
        <f t="shared" si="82"/>
        <v>0</v>
      </c>
      <c r="P629" s="530">
        <f t="shared" si="84"/>
        <v>0</v>
      </c>
    </row>
    <row r="630" spans="1:16">
      <c r="A630" s="529">
        <f>+'6.Other Exp. Categories'!A31</f>
        <v>29</v>
      </c>
      <c r="B630" s="529">
        <f>+'6.Other Exp. Categories'!F31</f>
        <v>0</v>
      </c>
      <c r="D630" s="529">
        <f>+'6.Other Exp. Categories'!E31</f>
        <v>0</v>
      </c>
      <c r="E630" s="531">
        <f>+'6.Other Exp. Categories'!B31</f>
        <v>0</v>
      </c>
      <c r="F630" s="529">
        <f>+'6.Other Exp. Categories'!C31</f>
        <v>0</v>
      </c>
      <c r="G630" s="526">
        <f t="shared" si="83"/>
        <v>0</v>
      </c>
      <c r="H630" s="525">
        <f>IFERROR(VLOOKUP($B630,'3.Tasks'!$BK$4:$BO$23,2,FALSE),0)</f>
        <v>0</v>
      </c>
      <c r="I630" s="529">
        <f t="shared" si="79"/>
        <v>0</v>
      </c>
      <c r="J630" s="529">
        <f>IFERROR(VLOOKUP($B630,'3.Tasks'!$BK$4:$BO$23,3,FALSE),0)</f>
        <v>0</v>
      </c>
      <c r="K630" s="529">
        <f t="shared" si="80"/>
        <v>0</v>
      </c>
      <c r="L630" s="529">
        <f>IFERROR(VLOOKUP($B630,'3.Tasks'!$BK$4:$BO$23,4,FALSE),0)</f>
        <v>0</v>
      </c>
      <c r="M630" s="529">
        <f t="shared" si="81"/>
        <v>0</v>
      </c>
      <c r="N630" s="529">
        <f>IFERROR(VLOOKUP($B630,'3.Tasks'!$BK$4:$BO$23,5,FALSE),0)</f>
        <v>0</v>
      </c>
      <c r="O630" s="529">
        <f t="shared" si="82"/>
        <v>0</v>
      </c>
      <c r="P630" s="530">
        <f t="shared" si="84"/>
        <v>0</v>
      </c>
    </row>
    <row r="631" spans="1:16">
      <c r="A631" s="529">
        <f>+'6.Other Exp. Categories'!A32</f>
        <v>30</v>
      </c>
      <c r="B631" s="529">
        <f>+'6.Other Exp. Categories'!F32</f>
        <v>0</v>
      </c>
      <c r="D631" s="529">
        <f>+'6.Other Exp. Categories'!E32</f>
        <v>0</v>
      </c>
      <c r="E631" s="531">
        <f>+'6.Other Exp. Categories'!B32</f>
        <v>0</v>
      </c>
      <c r="F631" s="529">
        <f>+'6.Other Exp. Categories'!C32</f>
        <v>0</v>
      </c>
      <c r="G631" s="526">
        <f t="shared" si="83"/>
        <v>0</v>
      </c>
      <c r="H631" s="525">
        <f>IFERROR(VLOOKUP($B631,'3.Tasks'!$BK$4:$BO$23,2,FALSE),0)</f>
        <v>0</v>
      </c>
      <c r="I631" s="529">
        <f t="shared" si="79"/>
        <v>0</v>
      </c>
      <c r="J631" s="529">
        <f>IFERROR(VLOOKUP($B631,'3.Tasks'!$BK$4:$BO$23,3,FALSE),0)</f>
        <v>0</v>
      </c>
      <c r="K631" s="529">
        <f t="shared" si="80"/>
        <v>0</v>
      </c>
      <c r="L631" s="529">
        <f>IFERROR(VLOOKUP($B631,'3.Tasks'!$BK$4:$BO$23,4,FALSE),0)</f>
        <v>0</v>
      </c>
      <c r="M631" s="529">
        <f t="shared" si="81"/>
        <v>0</v>
      </c>
      <c r="N631" s="529">
        <f>IFERROR(VLOOKUP($B631,'3.Tasks'!$BK$4:$BO$23,5,FALSE),0)</f>
        <v>0</v>
      </c>
      <c r="O631" s="529">
        <f t="shared" si="82"/>
        <v>0</v>
      </c>
      <c r="P631" s="530">
        <f t="shared" si="84"/>
        <v>0</v>
      </c>
    </row>
    <row r="632" spans="1:16">
      <c r="A632" s="529">
        <f>+'6.Other Exp. Categories'!A33</f>
        <v>31</v>
      </c>
      <c r="B632" s="529">
        <f>+'6.Other Exp. Categories'!F33</f>
        <v>0</v>
      </c>
      <c r="D632" s="529">
        <f>+'6.Other Exp. Categories'!E33</f>
        <v>0</v>
      </c>
      <c r="E632" s="531">
        <f>+'6.Other Exp. Categories'!B33</f>
        <v>0</v>
      </c>
      <c r="F632" s="529">
        <f>+'6.Other Exp. Categories'!C33</f>
        <v>0</v>
      </c>
      <c r="G632" s="526">
        <f t="shared" si="83"/>
        <v>0</v>
      </c>
      <c r="H632" s="525">
        <f>IFERROR(VLOOKUP($B632,'3.Tasks'!$BK$4:$BO$23,2,FALSE),0)</f>
        <v>0</v>
      </c>
      <c r="I632" s="529">
        <f t="shared" si="79"/>
        <v>0</v>
      </c>
      <c r="J632" s="529">
        <f>IFERROR(VLOOKUP($B632,'3.Tasks'!$BK$4:$BO$23,3,FALSE),0)</f>
        <v>0</v>
      </c>
      <c r="K632" s="529">
        <f t="shared" si="80"/>
        <v>0</v>
      </c>
      <c r="L632" s="529">
        <f>IFERROR(VLOOKUP($B632,'3.Tasks'!$BK$4:$BO$23,4,FALSE),0)</f>
        <v>0</v>
      </c>
      <c r="M632" s="529">
        <f t="shared" si="81"/>
        <v>0</v>
      </c>
      <c r="N632" s="529">
        <f>IFERROR(VLOOKUP($B632,'3.Tasks'!$BK$4:$BO$23,5,FALSE),0)</f>
        <v>0</v>
      </c>
      <c r="O632" s="529">
        <f t="shared" si="82"/>
        <v>0</v>
      </c>
      <c r="P632" s="530">
        <f t="shared" si="84"/>
        <v>0</v>
      </c>
    </row>
    <row r="633" spans="1:16">
      <c r="A633" s="529">
        <f>+'6.Other Exp. Categories'!A34</f>
        <v>32</v>
      </c>
      <c r="B633" s="529">
        <f>+'6.Other Exp. Categories'!F34</f>
        <v>0</v>
      </c>
      <c r="D633" s="529">
        <f>+'6.Other Exp. Categories'!E34</f>
        <v>0</v>
      </c>
      <c r="E633" s="531">
        <f>+'6.Other Exp. Categories'!B34</f>
        <v>0</v>
      </c>
      <c r="F633" s="529">
        <f>+'6.Other Exp. Categories'!C34</f>
        <v>0</v>
      </c>
      <c r="G633" s="526">
        <f t="shared" si="83"/>
        <v>0</v>
      </c>
      <c r="H633" s="525">
        <f>IFERROR(VLOOKUP($B633,'3.Tasks'!$BK$4:$BO$23,2,FALSE),0)</f>
        <v>0</v>
      </c>
      <c r="I633" s="529">
        <f t="shared" si="79"/>
        <v>0</v>
      </c>
      <c r="J633" s="529">
        <f>IFERROR(VLOOKUP($B633,'3.Tasks'!$BK$4:$BO$23,3,FALSE),0)</f>
        <v>0</v>
      </c>
      <c r="K633" s="529">
        <f t="shared" si="80"/>
        <v>0</v>
      </c>
      <c r="L633" s="529">
        <f>IFERROR(VLOOKUP($B633,'3.Tasks'!$BK$4:$BO$23,4,FALSE),0)</f>
        <v>0</v>
      </c>
      <c r="M633" s="529">
        <f t="shared" si="81"/>
        <v>0</v>
      </c>
      <c r="N633" s="529">
        <f>IFERROR(VLOOKUP($B633,'3.Tasks'!$BK$4:$BO$23,5,FALSE),0)</f>
        <v>0</v>
      </c>
      <c r="O633" s="529">
        <f t="shared" si="82"/>
        <v>0</v>
      </c>
      <c r="P633" s="530">
        <f t="shared" si="84"/>
        <v>0</v>
      </c>
    </row>
    <row r="634" spans="1:16">
      <c r="A634" s="529">
        <f>+'6.Other Exp. Categories'!A35</f>
        <v>33</v>
      </c>
      <c r="B634" s="529">
        <f>+'6.Other Exp. Categories'!F35</f>
        <v>0</v>
      </c>
      <c r="D634" s="529">
        <f>+'6.Other Exp. Categories'!E35</f>
        <v>0</v>
      </c>
      <c r="E634" s="531">
        <f>+'6.Other Exp. Categories'!B35</f>
        <v>0</v>
      </c>
      <c r="F634" s="529">
        <f>+'6.Other Exp. Categories'!C35</f>
        <v>0</v>
      </c>
      <c r="G634" s="526">
        <f t="shared" si="83"/>
        <v>0</v>
      </c>
      <c r="H634" s="525">
        <f>IFERROR(VLOOKUP($B634,'3.Tasks'!$BK$4:$BO$23,2,FALSE),0)</f>
        <v>0</v>
      </c>
      <c r="I634" s="529">
        <f t="shared" si="79"/>
        <v>0</v>
      </c>
      <c r="J634" s="529">
        <f>IFERROR(VLOOKUP($B634,'3.Tasks'!$BK$4:$BO$23,3,FALSE),0)</f>
        <v>0</v>
      </c>
      <c r="K634" s="529">
        <f t="shared" si="80"/>
        <v>0</v>
      </c>
      <c r="L634" s="529">
        <f>IFERROR(VLOOKUP($B634,'3.Tasks'!$BK$4:$BO$23,4,FALSE),0)</f>
        <v>0</v>
      </c>
      <c r="M634" s="529">
        <f t="shared" si="81"/>
        <v>0</v>
      </c>
      <c r="N634" s="529">
        <f>IFERROR(VLOOKUP($B634,'3.Tasks'!$BK$4:$BO$23,5,FALSE),0)</f>
        <v>0</v>
      </c>
      <c r="O634" s="529">
        <f t="shared" si="82"/>
        <v>0</v>
      </c>
      <c r="P634" s="530">
        <f t="shared" si="84"/>
        <v>0</v>
      </c>
    </row>
    <row r="635" spans="1:16">
      <c r="A635" s="529">
        <f>+'6.Other Exp. Categories'!A36</f>
        <v>34</v>
      </c>
      <c r="B635" s="529">
        <f>+'6.Other Exp. Categories'!F36</f>
        <v>0</v>
      </c>
      <c r="D635" s="529">
        <f>+'6.Other Exp. Categories'!E36</f>
        <v>0</v>
      </c>
      <c r="E635" s="531">
        <f>+'6.Other Exp. Categories'!B36</f>
        <v>0</v>
      </c>
      <c r="F635" s="529">
        <f>+'6.Other Exp. Categories'!C36</f>
        <v>0</v>
      </c>
      <c r="G635" s="526">
        <f t="shared" si="83"/>
        <v>0</v>
      </c>
      <c r="H635" s="525">
        <f>IFERROR(VLOOKUP($B635,'3.Tasks'!$BK$4:$BO$23,2,FALSE),0)</f>
        <v>0</v>
      </c>
      <c r="I635" s="529">
        <f t="shared" si="79"/>
        <v>0</v>
      </c>
      <c r="J635" s="529">
        <f>IFERROR(VLOOKUP($B635,'3.Tasks'!$BK$4:$BO$23,3,FALSE),0)</f>
        <v>0</v>
      </c>
      <c r="K635" s="529">
        <f t="shared" si="80"/>
        <v>0</v>
      </c>
      <c r="L635" s="529">
        <f>IFERROR(VLOOKUP($B635,'3.Tasks'!$BK$4:$BO$23,4,FALSE),0)</f>
        <v>0</v>
      </c>
      <c r="M635" s="529">
        <f t="shared" si="81"/>
        <v>0</v>
      </c>
      <c r="N635" s="529">
        <f>IFERROR(VLOOKUP($B635,'3.Tasks'!$BK$4:$BO$23,5,FALSE),0)</f>
        <v>0</v>
      </c>
      <c r="O635" s="529">
        <f t="shared" si="82"/>
        <v>0</v>
      </c>
      <c r="P635" s="530">
        <f t="shared" si="84"/>
        <v>0</v>
      </c>
    </row>
    <row r="636" spans="1:16">
      <c r="A636" s="529">
        <f>+'6.Other Exp. Categories'!A37</f>
        <v>35</v>
      </c>
      <c r="B636" s="529">
        <f>+'6.Other Exp. Categories'!F37</f>
        <v>0</v>
      </c>
      <c r="D636" s="529">
        <f>+'6.Other Exp. Categories'!E37</f>
        <v>0</v>
      </c>
      <c r="E636" s="531">
        <f>+'6.Other Exp. Categories'!B37</f>
        <v>0</v>
      </c>
      <c r="F636" s="529">
        <f>+'6.Other Exp. Categories'!C37</f>
        <v>0</v>
      </c>
      <c r="G636" s="526">
        <f t="shared" si="83"/>
        <v>0</v>
      </c>
      <c r="H636" s="525">
        <f>IFERROR(VLOOKUP($B636,'3.Tasks'!$BK$4:$BO$23,2,FALSE),0)</f>
        <v>0</v>
      </c>
      <c r="I636" s="529">
        <f t="shared" si="79"/>
        <v>0</v>
      </c>
      <c r="J636" s="529">
        <f>IFERROR(VLOOKUP($B636,'3.Tasks'!$BK$4:$BO$23,3,FALSE),0)</f>
        <v>0</v>
      </c>
      <c r="K636" s="529">
        <f t="shared" si="80"/>
        <v>0</v>
      </c>
      <c r="L636" s="529">
        <f>IFERROR(VLOOKUP($B636,'3.Tasks'!$BK$4:$BO$23,4,FALSE),0)</f>
        <v>0</v>
      </c>
      <c r="M636" s="529">
        <f t="shared" si="81"/>
        <v>0</v>
      </c>
      <c r="N636" s="529">
        <f>IFERROR(VLOOKUP($B636,'3.Tasks'!$BK$4:$BO$23,5,FALSE),0)</f>
        <v>0</v>
      </c>
      <c r="O636" s="529">
        <f t="shared" si="82"/>
        <v>0</v>
      </c>
      <c r="P636" s="530">
        <f t="shared" si="84"/>
        <v>0</v>
      </c>
    </row>
    <row r="637" spans="1:16">
      <c r="A637" s="529">
        <f>+'6.Other Exp. Categories'!A38</f>
        <v>36</v>
      </c>
      <c r="B637" s="529">
        <f>+'6.Other Exp. Categories'!F38</f>
        <v>0</v>
      </c>
      <c r="D637" s="529">
        <f>+'6.Other Exp. Categories'!E38</f>
        <v>0</v>
      </c>
      <c r="E637" s="531">
        <f>+'6.Other Exp. Categories'!B38</f>
        <v>0</v>
      </c>
      <c r="F637" s="529">
        <f>+'6.Other Exp. Categories'!C38</f>
        <v>0</v>
      </c>
      <c r="G637" s="526">
        <f t="shared" si="83"/>
        <v>0</v>
      </c>
      <c r="H637" s="525">
        <f>IFERROR(VLOOKUP($B637,'3.Tasks'!$BK$4:$BO$23,2,FALSE),0)</f>
        <v>0</v>
      </c>
      <c r="I637" s="529">
        <f t="shared" si="79"/>
        <v>0</v>
      </c>
      <c r="J637" s="529">
        <f>IFERROR(VLOOKUP($B637,'3.Tasks'!$BK$4:$BO$23,3,FALSE),0)</f>
        <v>0</v>
      </c>
      <c r="K637" s="529">
        <f t="shared" si="80"/>
        <v>0</v>
      </c>
      <c r="L637" s="529">
        <f>IFERROR(VLOOKUP($B637,'3.Tasks'!$BK$4:$BO$23,4,FALSE),0)</f>
        <v>0</v>
      </c>
      <c r="M637" s="529">
        <f t="shared" si="81"/>
        <v>0</v>
      </c>
      <c r="N637" s="529">
        <f>IFERROR(VLOOKUP($B637,'3.Tasks'!$BK$4:$BO$23,5,FALSE),0)</f>
        <v>0</v>
      </c>
      <c r="O637" s="529">
        <f t="shared" si="82"/>
        <v>0</v>
      </c>
      <c r="P637" s="530">
        <f t="shared" si="84"/>
        <v>0</v>
      </c>
    </row>
    <row r="638" spans="1:16">
      <c r="A638" s="529">
        <f>+'6.Other Exp. Categories'!A39</f>
        <v>37</v>
      </c>
      <c r="B638" s="529">
        <f>+'6.Other Exp. Categories'!F39</f>
        <v>0</v>
      </c>
      <c r="D638" s="529">
        <f>+'6.Other Exp. Categories'!E39</f>
        <v>0</v>
      </c>
      <c r="E638" s="531">
        <f>+'6.Other Exp. Categories'!B39</f>
        <v>0</v>
      </c>
      <c r="F638" s="529">
        <f>+'6.Other Exp. Categories'!C39</f>
        <v>0</v>
      </c>
      <c r="G638" s="526">
        <f t="shared" si="83"/>
        <v>0</v>
      </c>
      <c r="H638" s="525">
        <f>IFERROR(VLOOKUP($B638,'3.Tasks'!$BK$4:$BO$23,2,FALSE),0)</f>
        <v>0</v>
      </c>
      <c r="I638" s="529">
        <f t="shared" si="79"/>
        <v>0</v>
      </c>
      <c r="J638" s="529">
        <f>IFERROR(VLOOKUP($B638,'3.Tasks'!$BK$4:$BO$23,3,FALSE),0)</f>
        <v>0</v>
      </c>
      <c r="K638" s="529">
        <f t="shared" si="80"/>
        <v>0</v>
      </c>
      <c r="L638" s="529">
        <f>IFERROR(VLOOKUP($B638,'3.Tasks'!$BK$4:$BO$23,4,FALSE),0)</f>
        <v>0</v>
      </c>
      <c r="M638" s="529">
        <f t="shared" si="81"/>
        <v>0</v>
      </c>
      <c r="N638" s="529">
        <f>IFERROR(VLOOKUP($B638,'3.Tasks'!$BK$4:$BO$23,5,FALSE),0)</f>
        <v>0</v>
      </c>
      <c r="O638" s="529">
        <f t="shared" si="82"/>
        <v>0</v>
      </c>
      <c r="P638" s="530">
        <f t="shared" si="84"/>
        <v>0</v>
      </c>
    </row>
    <row r="639" spans="1:16">
      <c r="A639" s="529">
        <f>+'6.Other Exp. Categories'!A40</f>
        <v>38</v>
      </c>
      <c r="B639" s="529">
        <f>+'6.Other Exp. Categories'!F40</f>
        <v>0</v>
      </c>
      <c r="D639" s="529">
        <f>+'6.Other Exp. Categories'!E40</f>
        <v>0</v>
      </c>
      <c r="E639" s="531">
        <f>+'6.Other Exp. Categories'!B40</f>
        <v>0</v>
      </c>
      <c r="F639" s="529">
        <f>+'6.Other Exp. Categories'!C40</f>
        <v>0</v>
      </c>
      <c r="G639" s="526">
        <f t="shared" si="83"/>
        <v>0</v>
      </c>
      <c r="H639" s="525">
        <f>IFERROR(VLOOKUP($B639,'3.Tasks'!$BK$4:$BO$23,2,FALSE),0)</f>
        <v>0</v>
      </c>
      <c r="I639" s="529">
        <f t="shared" si="79"/>
        <v>0</v>
      </c>
      <c r="J639" s="529">
        <f>IFERROR(VLOOKUP($B639,'3.Tasks'!$BK$4:$BO$23,3,FALSE),0)</f>
        <v>0</v>
      </c>
      <c r="K639" s="529">
        <f t="shared" si="80"/>
        <v>0</v>
      </c>
      <c r="L639" s="529">
        <f>IFERROR(VLOOKUP($B639,'3.Tasks'!$BK$4:$BO$23,4,FALSE),0)</f>
        <v>0</v>
      </c>
      <c r="M639" s="529">
        <f t="shared" si="81"/>
        <v>0</v>
      </c>
      <c r="N639" s="529">
        <f>IFERROR(VLOOKUP($B639,'3.Tasks'!$BK$4:$BO$23,5,FALSE),0)</f>
        <v>0</v>
      </c>
      <c r="O639" s="529">
        <f t="shared" si="82"/>
        <v>0</v>
      </c>
      <c r="P639" s="530">
        <f t="shared" si="84"/>
        <v>0</v>
      </c>
    </row>
    <row r="640" spans="1:16">
      <c r="A640" s="529">
        <f>+'6.Other Exp. Categories'!A41</f>
        <v>39</v>
      </c>
      <c r="B640" s="529">
        <f>+'6.Other Exp. Categories'!F41</f>
        <v>0</v>
      </c>
      <c r="D640" s="529">
        <f>+'6.Other Exp. Categories'!E41</f>
        <v>0</v>
      </c>
      <c r="E640" s="531">
        <f>+'6.Other Exp. Categories'!B41</f>
        <v>0</v>
      </c>
      <c r="F640" s="529">
        <f>+'6.Other Exp. Categories'!C41</f>
        <v>0</v>
      </c>
      <c r="G640" s="526">
        <f t="shared" si="83"/>
        <v>0</v>
      </c>
      <c r="H640" s="525">
        <f>IFERROR(VLOOKUP($B640,'3.Tasks'!$BK$4:$BO$23,2,FALSE),0)</f>
        <v>0</v>
      </c>
      <c r="I640" s="529">
        <f t="shared" si="79"/>
        <v>0</v>
      </c>
      <c r="J640" s="529">
        <f>IFERROR(VLOOKUP($B640,'3.Tasks'!$BK$4:$BO$23,3,FALSE),0)</f>
        <v>0</v>
      </c>
      <c r="K640" s="529">
        <f t="shared" si="80"/>
        <v>0</v>
      </c>
      <c r="L640" s="529">
        <f>IFERROR(VLOOKUP($B640,'3.Tasks'!$BK$4:$BO$23,4,FALSE),0)</f>
        <v>0</v>
      </c>
      <c r="M640" s="529">
        <f t="shared" si="81"/>
        <v>0</v>
      </c>
      <c r="N640" s="529">
        <f>IFERROR(VLOOKUP($B640,'3.Tasks'!$BK$4:$BO$23,5,FALSE),0)</f>
        <v>0</v>
      </c>
      <c r="O640" s="529">
        <f t="shared" si="82"/>
        <v>0</v>
      </c>
      <c r="P640" s="530">
        <f t="shared" si="84"/>
        <v>0</v>
      </c>
    </row>
    <row r="641" spans="1:16">
      <c r="A641" s="529">
        <f>+'6.Other Exp. Categories'!A42</f>
        <v>40</v>
      </c>
      <c r="B641" s="529">
        <f>+'6.Other Exp. Categories'!F42</f>
        <v>0</v>
      </c>
      <c r="D641" s="529">
        <f>+'6.Other Exp. Categories'!E42</f>
        <v>0</v>
      </c>
      <c r="E641" s="531">
        <f>+'6.Other Exp. Categories'!B42</f>
        <v>0</v>
      </c>
      <c r="F641" s="529">
        <f>+'6.Other Exp. Categories'!C42</f>
        <v>0</v>
      </c>
      <c r="G641" s="526">
        <f t="shared" si="83"/>
        <v>0</v>
      </c>
      <c r="H641" s="525">
        <f>IFERROR(VLOOKUP($B641,'3.Tasks'!$BK$4:$BO$23,2,FALSE),0)</f>
        <v>0</v>
      </c>
      <c r="I641" s="529">
        <f t="shared" si="79"/>
        <v>0</v>
      </c>
      <c r="J641" s="529">
        <f>IFERROR(VLOOKUP($B641,'3.Tasks'!$BK$4:$BO$23,3,FALSE),0)</f>
        <v>0</v>
      </c>
      <c r="K641" s="529">
        <f t="shared" si="80"/>
        <v>0</v>
      </c>
      <c r="L641" s="529">
        <f>IFERROR(VLOOKUP($B641,'3.Tasks'!$BK$4:$BO$23,4,FALSE),0)</f>
        <v>0</v>
      </c>
      <c r="M641" s="529">
        <f t="shared" si="81"/>
        <v>0</v>
      </c>
      <c r="N641" s="529">
        <f>IFERROR(VLOOKUP($B641,'3.Tasks'!$BK$4:$BO$23,5,FALSE),0)</f>
        <v>0</v>
      </c>
      <c r="O641" s="529">
        <f t="shared" si="82"/>
        <v>0</v>
      </c>
      <c r="P641" s="530">
        <f t="shared" si="84"/>
        <v>0</v>
      </c>
    </row>
    <row r="642" spans="1:16">
      <c r="A642" s="529">
        <f>+'6.Other Exp. Categories'!A43</f>
        <v>41</v>
      </c>
      <c r="B642" s="529">
        <f>+'6.Other Exp. Categories'!F43</f>
        <v>0</v>
      </c>
      <c r="D642" s="529">
        <f>+'6.Other Exp. Categories'!E43</f>
        <v>0</v>
      </c>
      <c r="E642" s="531">
        <f>+'6.Other Exp. Categories'!B43</f>
        <v>0</v>
      </c>
      <c r="F642" s="529">
        <f>+'6.Other Exp. Categories'!C43</f>
        <v>0</v>
      </c>
      <c r="G642" s="526">
        <f t="shared" si="83"/>
        <v>0</v>
      </c>
      <c r="H642" s="525">
        <f>IFERROR(VLOOKUP($B642,'3.Tasks'!$BK$4:$BO$23,2,FALSE),0)</f>
        <v>0</v>
      </c>
      <c r="I642" s="529">
        <f t="shared" si="79"/>
        <v>0</v>
      </c>
      <c r="J642" s="529">
        <f>IFERROR(VLOOKUP($B642,'3.Tasks'!$BK$4:$BO$23,3,FALSE),0)</f>
        <v>0</v>
      </c>
      <c r="K642" s="529">
        <f t="shared" si="80"/>
        <v>0</v>
      </c>
      <c r="L642" s="529">
        <f>IFERROR(VLOOKUP($B642,'3.Tasks'!$BK$4:$BO$23,4,FALSE),0)</f>
        <v>0</v>
      </c>
      <c r="M642" s="529">
        <f t="shared" si="81"/>
        <v>0</v>
      </c>
      <c r="N642" s="529">
        <f>IFERROR(VLOOKUP($B642,'3.Tasks'!$BK$4:$BO$23,5,FALSE),0)</f>
        <v>0</v>
      </c>
      <c r="O642" s="529">
        <f t="shared" si="82"/>
        <v>0</v>
      </c>
      <c r="P642" s="530">
        <f t="shared" si="84"/>
        <v>0</v>
      </c>
    </row>
    <row r="643" spans="1:16">
      <c r="A643" s="529">
        <f>+'6.Other Exp. Categories'!A44</f>
        <v>42</v>
      </c>
      <c r="B643" s="529">
        <f>+'6.Other Exp. Categories'!F44</f>
        <v>0</v>
      </c>
      <c r="D643" s="529">
        <f>+'6.Other Exp. Categories'!E44</f>
        <v>0</v>
      </c>
      <c r="E643" s="531">
        <f>+'6.Other Exp. Categories'!B44</f>
        <v>0</v>
      </c>
      <c r="F643" s="529">
        <f>+'6.Other Exp. Categories'!C44</f>
        <v>0</v>
      </c>
      <c r="G643" s="526">
        <f t="shared" si="83"/>
        <v>0</v>
      </c>
      <c r="H643" s="525">
        <f>IFERROR(VLOOKUP($B643,'3.Tasks'!$BK$4:$BO$23,2,FALSE),0)</f>
        <v>0</v>
      </c>
      <c r="I643" s="529">
        <f t="shared" si="79"/>
        <v>0</v>
      </c>
      <c r="J643" s="529">
        <f>IFERROR(VLOOKUP($B643,'3.Tasks'!$BK$4:$BO$23,3,FALSE),0)</f>
        <v>0</v>
      </c>
      <c r="K643" s="529">
        <f t="shared" si="80"/>
        <v>0</v>
      </c>
      <c r="L643" s="529">
        <f>IFERROR(VLOOKUP($B643,'3.Tasks'!$BK$4:$BO$23,4,FALSE),0)</f>
        <v>0</v>
      </c>
      <c r="M643" s="529">
        <f t="shared" si="81"/>
        <v>0</v>
      </c>
      <c r="N643" s="529">
        <f>IFERROR(VLOOKUP($B643,'3.Tasks'!$BK$4:$BO$23,5,FALSE),0)</f>
        <v>0</v>
      </c>
      <c r="O643" s="529">
        <f t="shared" si="82"/>
        <v>0</v>
      </c>
      <c r="P643" s="530">
        <f t="shared" si="84"/>
        <v>0</v>
      </c>
    </row>
    <row r="644" spans="1:16">
      <c r="A644" s="529">
        <f>+'6.Other Exp. Categories'!A45</f>
        <v>43</v>
      </c>
      <c r="B644" s="529">
        <f>+'6.Other Exp. Categories'!F45</f>
        <v>0</v>
      </c>
      <c r="D644" s="529">
        <f>+'6.Other Exp. Categories'!E45</f>
        <v>0</v>
      </c>
      <c r="E644" s="531">
        <f>+'6.Other Exp. Categories'!B45</f>
        <v>0</v>
      </c>
      <c r="F644" s="529">
        <f>+'6.Other Exp. Categories'!C45</f>
        <v>0</v>
      </c>
      <c r="G644" s="526">
        <f t="shared" si="83"/>
        <v>0</v>
      </c>
      <c r="H644" s="525">
        <f>IFERROR(VLOOKUP($B644,'3.Tasks'!$BK$4:$BO$23,2,FALSE),0)</f>
        <v>0</v>
      </c>
      <c r="I644" s="529">
        <f t="shared" si="79"/>
        <v>0</v>
      </c>
      <c r="J644" s="529">
        <f>IFERROR(VLOOKUP($B644,'3.Tasks'!$BK$4:$BO$23,3,FALSE),0)</f>
        <v>0</v>
      </c>
      <c r="K644" s="529">
        <f t="shared" si="80"/>
        <v>0</v>
      </c>
      <c r="L644" s="529">
        <f>IFERROR(VLOOKUP($B644,'3.Tasks'!$BK$4:$BO$23,4,FALSE),0)</f>
        <v>0</v>
      </c>
      <c r="M644" s="529">
        <f t="shared" si="81"/>
        <v>0</v>
      </c>
      <c r="N644" s="529">
        <f>IFERROR(VLOOKUP($B644,'3.Tasks'!$BK$4:$BO$23,5,FALSE),0)</f>
        <v>0</v>
      </c>
      <c r="O644" s="529">
        <f t="shared" si="82"/>
        <v>0</v>
      </c>
      <c r="P644" s="530">
        <f t="shared" si="84"/>
        <v>0</v>
      </c>
    </row>
    <row r="645" spans="1:16">
      <c r="A645" s="529">
        <f>+'6.Other Exp. Categories'!A46</f>
        <v>44</v>
      </c>
      <c r="B645" s="529">
        <f>+'6.Other Exp. Categories'!F46</f>
        <v>0</v>
      </c>
      <c r="D645" s="529">
        <f>+'6.Other Exp. Categories'!E46</f>
        <v>0</v>
      </c>
      <c r="E645" s="531">
        <f>+'6.Other Exp. Categories'!B46</f>
        <v>0</v>
      </c>
      <c r="F645" s="529">
        <f>+'6.Other Exp. Categories'!C46</f>
        <v>0</v>
      </c>
      <c r="G645" s="526">
        <f t="shared" si="83"/>
        <v>0</v>
      </c>
      <c r="H645" s="525">
        <f>IFERROR(VLOOKUP($B645,'3.Tasks'!$BK$4:$BO$23,2,FALSE),0)</f>
        <v>0</v>
      </c>
      <c r="I645" s="529">
        <f t="shared" si="79"/>
        <v>0</v>
      </c>
      <c r="J645" s="529">
        <f>IFERROR(VLOOKUP($B645,'3.Tasks'!$BK$4:$BO$23,3,FALSE),0)</f>
        <v>0</v>
      </c>
      <c r="K645" s="529">
        <f t="shared" si="80"/>
        <v>0</v>
      </c>
      <c r="L645" s="529">
        <f>IFERROR(VLOOKUP($B645,'3.Tasks'!$BK$4:$BO$23,4,FALSE),0)</f>
        <v>0</v>
      </c>
      <c r="M645" s="529">
        <f t="shared" si="81"/>
        <v>0</v>
      </c>
      <c r="N645" s="529">
        <f>IFERROR(VLOOKUP($B645,'3.Tasks'!$BK$4:$BO$23,5,FALSE),0)</f>
        <v>0</v>
      </c>
      <c r="O645" s="529">
        <f t="shared" si="82"/>
        <v>0</v>
      </c>
      <c r="P645" s="530">
        <f t="shared" si="84"/>
        <v>0</v>
      </c>
    </row>
    <row r="646" spans="1:16">
      <c r="A646" s="529">
        <f>+'6.Other Exp. Categories'!A47</f>
        <v>45</v>
      </c>
      <c r="B646" s="529">
        <f>+'6.Other Exp. Categories'!F47</f>
        <v>0</v>
      </c>
      <c r="D646" s="529">
        <f>+'6.Other Exp. Categories'!E47</f>
        <v>0</v>
      </c>
      <c r="E646" s="531">
        <f>+'6.Other Exp. Categories'!B47</f>
        <v>0</v>
      </c>
      <c r="F646" s="529">
        <f>+'6.Other Exp. Categories'!C47</f>
        <v>0</v>
      </c>
      <c r="G646" s="526">
        <f t="shared" si="83"/>
        <v>0</v>
      </c>
      <c r="H646" s="525">
        <f>IFERROR(VLOOKUP($B646,'3.Tasks'!$BK$4:$BO$23,2,FALSE),0)</f>
        <v>0</v>
      </c>
      <c r="I646" s="529">
        <f t="shared" si="79"/>
        <v>0</v>
      </c>
      <c r="J646" s="529">
        <f>IFERROR(VLOOKUP($B646,'3.Tasks'!$BK$4:$BO$23,3,FALSE),0)</f>
        <v>0</v>
      </c>
      <c r="K646" s="529">
        <f t="shared" si="80"/>
        <v>0</v>
      </c>
      <c r="L646" s="529">
        <f>IFERROR(VLOOKUP($B646,'3.Tasks'!$BK$4:$BO$23,4,FALSE),0)</f>
        <v>0</v>
      </c>
      <c r="M646" s="529">
        <f t="shared" si="81"/>
        <v>0</v>
      </c>
      <c r="N646" s="529">
        <f>IFERROR(VLOOKUP($B646,'3.Tasks'!$BK$4:$BO$23,5,FALSE),0)</f>
        <v>0</v>
      </c>
      <c r="O646" s="529">
        <f t="shared" si="82"/>
        <v>0</v>
      </c>
      <c r="P646" s="530">
        <f t="shared" si="84"/>
        <v>0</v>
      </c>
    </row>
    <row r="647" spans="1:16">
      <c r="A647" s="529">
        <f>+'6.Other Exp. Categories'!A48</f>
        <v>46</v>
      </c>
      <c r="B647" s="529">
        <f>+'6.Other Exp. Categories'!F48</f>
        <v>0</v>
      </c>
      <c r="D647" s="529">
        <f>+'6.Other Exp. Categories'!E48</f>
        <v>0</v>
      </c>
      <c r="E647" s="531">
        <f>+'6.Other Exp. Categories'!B48</f>
        <v>0</v>
      </c>
      <c r="F647" s="529">
        <f>+'6.Other Exp. Categories'!C48</f>
        <v>0</v>
      </c>
      <c r="G647" s="526">
        <f t="shared" si="83"/>
        <v>0</v>
      </c>
      <c r="H647" s="525">
        <f>IFERROR(VLOOKUP($B647,'3.Tasks'!$BK$4:$BO$23,2,FALSE),0)</f>
        <v>0</v>
      </c>
      <c r="I647" s="529">
        <f t="shared" si="79"/>
        <v>0</v>
      </c>
      <c r="J647" s="529">
        <f>IFERROR(VLOOKUP($B647,'3.Tasks'!$BK$4:$BO$23,3,FALSE),0)</f>
        <v>0</v>
      </c>
      <c r="K647" s="529">
        <f t="shared" si="80"/>
        <v>0</v>
      </c>
      <c r="L647" s="529">
        <f>IFERROR(VLOOKUP($B647,'3.Tasks'!$BK$4:$BO$23,4,FALSE),0)</f>
        <v>0</v>
      </c>
      <c r="M647" s="529">
        <f t="shared" si="81"/>
        <v>0</v>
      </c>
      <c r="N647" s="529">
        <f>IFERROR(VLOOKUP($B647,'3.Tasks'!$BK$4:$BO$23,5,FALSE),0)</f>
        <v>0</v>
      </c>
      <c r="O647" s="529">
        <f t="shared" si="82"/>
        <v>0</v>
      </c>
      <c r="P647" s="530">
        <f t="shared" si="84"/>
        <v>0</v>
      </c>
    </row>
    <row r="648" spans="1:16">
      <c r="A648" s="529">
        <f>+'6.Other Exp. Categories'!A49</f>
        <v>47</v>
      </c>
      <c r="B648" s="529">
        <f>+'6.Other Exp. Categories'!F49</f>
        <v>0</v>
      </c>
      <c r="D648" s="529">
        <f>+'6.Other Exp. Categories'!E49</f>
        <v>0</v>
      </c>
      <c r="E648" s="531">
        <f>+'6.Other Exp. Categories'!B49</f>
        <v>0</v>
      </c>
      <c r="F648" s="529">
        <f>+'6.Other Exp. Categories'!C49</f>
        <v>0</v>
      </c>
      <c r="G648" s="526">
        <f t="shared" si="83"/>
        <v>0</v>
      </c>
      <c r="H648" s="525">
        <f>IFERROR(VLOOKUP($B648,'3.Tasks'!$BK$4:$BO$23,2,FALSE),0)</f>
        <v>0</v>
      </c>
      <c r="I648" s="529">
        <f t="shared" si="79"/>
        <v>0</v>
      </c>
      <c r="J648" s="529">
        <f>IFERROR(VLOOKUP($B648,'3.Tasks'!$BK$4:$BO$23,3,FALSE),0)</f>
        <v>0</v>
      </c>
      <c r="K648" s="529">
        <f t="shared" si="80"/>
        <v>0</v>
      </c>
      <c r="L648" s="529">
        <f>IFERROR(VLOOKUP($B648,'3.Tasks'!$BK$4:$BO$23,4,FALSE),0)</f>
        <v>0</v>
      </c>
      <c r="M648" s="529">
        <f t="shared" si="81"/>
        <v>0</v>
      </c>
      <c r="N648" s="529">
        <f>IFERROR(VLOOKUP($B648,'3.Tasks'!$BK$4:$BO$23,5,FALSE),0)</f>
        <v>0</v>
      </c>
      <c r="O648" s="529">
        <f t="shared" si="82"/>
        <v>0</v>
      </c>
      <c r="P648" s="530">
        <f t="shared" si="84"/>
        <v>0</v>
      </c>
    </row>
    <row r="649" spans="1:16">
      <c r="A649" s="529">
        <f>+'6.Other Exp. Categories'!A50</f>
        <v>48</v>
      </c>
      <c r="B649" s="529">
        <f>+'6.Other Exp. Categories'!F50</f>
        <v>0</v>
      </c>
      <c r="D649" s="529">
        <f>+'6.Other Exp. Categories'!E50</f>
        <v>0</v>
      </c>
      <c r="E649" s="531">
        <f>+'6.Other Exp. Categories'!B50</f>
        <v>0</v>
      </c>
      <c r="F649" s="529">
        <f>+'6.Other Exp. Categories'!C50</f>
        <v>0</v>
      </c>
      <c r="G649" s="526">
        <f t="shared" si="83"/>
        <v>0</v>
      </c>
      <c r="H649" s="525">
        <f>IFERROR(VLOOKUP($B649,'3.Tasks'!$BK$4:$BO$23,2,FALSE),0)</f>
        <v>0</v>
      </c>
      <c r="I649" s="529">
        <f t="shared" si="79"/>
        <v>0</v>
      </c>
      <c r="J649" s="529">
        <f>IFERROR(VLOOKUP($B649,'3.Tasks'!$BK$4:$BO$23,3,FALSE),0)</f>
        <v>0</v>
      </c>
      <c r="K649" s="529">
        <f t="shared" si="80"/>
        <v>0</v>
      </c>
      <c r="L649" s="529">
        <f>IFERROR(VLOOKUP($B649,'3.Tasks'!$BK$4:$BO$23,4,FALSE),0)</f>
        <v>0</v>
      </c>
      <c r="M649" s="529">
        <f t="shared" si="81"/>
        <v>0</v>
      </c>
      <c r="N649" s="529">
        <f>IFERROR(VLOOKUP($B649,'3.Tasks'!$BK$4:$BO$23,5,FALSE),0)</f>
        <v>0</v>
      </c>
      <c r="O649" s="529">
        <f t="shared" si="82"/>
        <v>0</v>
      </c>
      <c r="P649" s="530">
        <f t="shared" si="84"/>
        <v>0</v>
      </c>
    </row>
    <row r="650" spans="1:16">
      <c r="A650" s="529">
        <f>+'6.Other Exp. Categories'!A51</f>
        <v>49</v>
      </c>
      <c r="B650" s="529">
        <f>+'6.Other Exp. Categories'!F51</f>
        <v>0</v>
      </c>
      <c r="D650" s="529">
        <f>+'6.Other Exp. Categories'!E51</f>
        <v>0</v>
      </c>
      <c r="E650" s="531">
        <f>+'6.Other Exp. Categories'!B51</f>
        <v>0</v>
      </c>
      <c r="F650" s="529">
        <f>+'6.Other Exp. Categories'!C51</f>
        <v>0</v>
      </c>
      <c r="G650" s="526">
        <f t="shared" si="83"/>
        <v>0</v>
      </c>
      <c r="H650" s="525">
        <f>IFERROR(VLOOKUP($B650,'3.Tasks'!$BK$4:$BO$23,2,FALSE),0)</f>
        <v>0</v>
      </c>
      <c r="I650" s="529">
        <f t="shared" si="79"/>
        <v>0</v>
      </c>
      <c r="J650" s="529">
        <f>IFERROR(VLOOKUP($B650,'3.Tasks'!$BK$4:$BO$23,3,FALSE),0)</f>
        <v>0</v>
      </c>
      <c r="K650" s="529">
        <f t="shared" si="80"/>
        <v>0</v>
      </c>
      <c r="L650" s="529">
        <f>IFERROR(VLOOKUP($B650,'3.Tasks'!$BK$4:$BO$23,4,FALSE),0)</f>
        <v>0</v>
      </c>
      <c r="M650" s="529">
        <f t="shared" si="81"/>
        <v>0</v>
      </c>
      <c r="N650" s="529">
        <f>IFERROR(VLOOKUP($B650,'3.Tasks'!$BK$4:$BO$23,5,FALSE),0)</f>
        <v>0</v>
      </c>
      <c r="O650" s="529">
        <f t="shared" si="82"/>
        <v>0</v>
      </c>
      <c r="P650" s="530">
        <f t="shared" si="84"/>
        <v>0</v>
      </c>
    </row>
    <row r="651" spans="1:16">
      <c r="A651" s="529">
        <f>+'6.Other Exp. Categories'!A52</f>
        <v>50</v>
      </c>
      <c r="B651" s="529">
        <f>+'6.Other Exp. Categories'!F52</f>
        <v>0</v>
      </c>
      <c r="D651" s="529">
        <f>+'6.Other Exp. Categories'!E52</f>
        <v>0</v>
      </c>
      <c r="E651" s="531">
        <f>+'6.Other Exp. Categories'!B52</f>
        <v>0</v>
      </c>
      <c r="F651" s="529">
        <f>+'6.Other Exp. Categories'!C52</f>
        <v>0</v>
      </c>
      <c r="G651" s="526">
        <f t="shared" si="83"/>
        <v>0</v>
      </c>
      <c r="H651" s="525">
        <f>IFERROR(VLOOKUP($B651,'3.Tasks'!$BK$4:$BO$23,2,FALSE),0)</f>
        <v>0</v>
      </c>
      <c r="I651" s="529">
        <f t="shared" si="79"/>
        <v>0</v>
      </c>
      <c r="J651" s="529">
        <f>IFERROR(VLOOKUP($B651,'3.Tasks'!$BK$4:$BO$23,3,FALSE),0)</f>
        <v>0</v>
      </c>
      <c r="K651" s="529">
        <f t="shared" si="80"/>
        <v>0</v>
      </c>
      <c r="L651" s="529">
        <f>IFERROR(VLOOKUP($B651,'3.Tasks'!$BK$4:$BO$23,4,FALSE),0)</f>
        <v>0</v>
      </c>
      <c r="M651" s="529">
        <f t="shared" si="81"/>
        <v>0</v>
      </c>
      <c r="N651" s="529">
        <f>IFERROR(VLOOKUP($B651,'3.Tasks'!$BK$4:$BO$23,5,FALSE),0)</f>
        <v>0</v>
      </c>
      <c r="O651" s="529">
        <f t="shared" si="82"/>
        <v>0</v>
      </c>
      <c r="P651" s="530">
        <f t="shared" si="84"/>
        <v>0</v>
      </c>
    </row>
    <row r="652" spans="1:16">
      <c r="A652" s="529">
        <f>+'6.Other Exp. Categories'!A53</f>
        <v>51</v>
      </c>
      <c r="B652" s="529">
        <f>+'6.Other Exp. Categories'!F53</f>
        <v>0</v>
      </c>
      <c r="D652" s="529">
        <f>+'6.Other Exp. Categories'!E53</f>
        <v>0</v>
      </c>
      <c r="E652" s="531">
        <f>+'6.Other Exp. Categories'!B53</f>
        <v>0</v>
      </c>
      <c r="F652" s="529">
        <f>+'6.Other Exp. Categories'!C53</f>
        <v>0</v>
      </c>
      <c r="G652" s="526">
        <f t="shared" si="83"/>
        <v>0</v>
      </c>
      <c r="H652" s="525">
        <f>IFERROR(VLOOKUP($B652,'3.Tasks'!$BK$4:$BO$23,2,FALSE),0)</f>
        <v>0</v>
      </c>
      <c r="I652" s="529">
        <f t="shared" si="79"/>
        <v>0</v>
      </c>
      <c r="J652" s="529">
        <f>IFERROR(VLOOKUP($B652,'3.Tasks'!$BK$4:$BO$23,3,FALSE),0)</f>
        <v>0</v>
      </c>
      <c r="K652" s="529">
        <f t="shared" si="80"/>
        <v>0</v>
      </c>
      <c r="L652" s="529">
        <f>IFERROR(VLOOKUP($B652,'3.Tasks'!$BK$4:$BO$23,4,FALSE),0)</f>
        <v>0</v>
      </c>
      <c r="M652" s="529">
        <f t="shared" si="81"/>
        <v>0</v>
      </c>
      <c r="N652" s="529">
        <f>IFERROR(VLOOKUP($B652,'3.Tasks'!$BK$4:$BO$23,5,FALSE),0)</f>
        <v>0</v>
      </c>
      <c r="O652" s="529">
        <f t="shared" si="82"/>
        <v>0</v>
      </c>
      <c r="P652" s="530">
        <f t="shared" si="84"/>
        <v>0</v>
      </c>
    </row>
    <row r="653" spans="1:16">
      <c r="A653" s="529">
        <f>+'6.Other Exp. Categories'!A54</f>
        <v>52</v>
      </c>
      <c r="B653" s="529">
        <f>+'6.Other Exp. Categories'!F54</f>
        <v>0</v>
      </c>
      <c r="D653" s="529">
        <f>+'6.Other Exp. Categories'!E54</f>
        <v>0</v>
      </c>
      <c r="E653" s="531">
        <f>+'6.Other Exp. Categories'!B54</f>
        <v>0</v>
      </c>
      <c r="F653" s="529">
        <f>+'6.Other Exp. Categories'!C54</f>
        <v>0</v>
      </c>
      <c r="G653" s="526">
        <f t="shared" si="83"/>
        <v>0</v>
      </c>
      <c r="H653" s="525">
        <f>IFERROR(VLOOKUP($B653,'3.Tasks'!$BK$4:$BO$23,2,FALSE),0)</f>
        <v>0</v>
      </c>
      <c r="I653" s="529">
        <f t="shared" si="79"/>
        <v>0</v>
      </c>
      <c r="J653" s="529">
        <f>IFERROR(VLOOKUP($B653,'3.Tasks'!$BK$4:$BO$23,3,FALSE),0)</f>
        <v>0</v>
      </c>
      <c r="K653" s="529">
        <f t="shared" si="80"/>
        <v>0</v>
      </c>
      <c r="L653" s="529">
        <f>IFERROR(VLOOKUP($B653,'3.Tasks'!$BK$4:$BO$23,4,FALSE),0)</f>
        <v>0</v>
      </c>
      <c r="M653" s="529">
        <f t="shared" si="81"/>
        <v>0</v>
      </c>
      <c r="N653" s="529">
        <f>IFERROR(VLOOKUP($B653,'3.Tasks'!$BK$4:$BO$23,5,FALSE),0)</f>
        <v>0</v>
      </c>
      <c r="O653" s="529">
        <f t="shared" si="82"/>
        <v>0</v>
      </c>
      <c r="P653" s="530">
        <f t="shared" si="84"/>
        <v>0</v>
      </c>
    </row>
    <row r="654" spans="1:16">
      <c r="A654" s="529">
        <f>+'6.Other Exp. Categories'!A55</f>
        <v>53</v>
      </c>
      <c r="B654" s="529">
        <f>+'6.Other Exp. Categories'!F55</f>
        <v>0</v>
      </c>
      <c r="D654" s="529">
        <f>+'6.Other Exp. Categories'!E55</f>
        <v>0</v>
      </c>
      <c r="E654" s="531">
        <f>+'6.Other Exp. Categories'!B55</f>
        <v>0</v>
      </c>
      <c r="F654" s="529">
        <f>+'6.Other Exp. Categories'!C55</f>
        <v>0</v>
      </c>
      <c r="G654" s="526">
        <f t="shared" si="83"/>
        <v>0</v>
      </c>
      <c r="H654" s="525">
        <f>IFERROR(VLOOKUP($B654,'3.Tasks'!$BK$4:$BO$23,2,FALSE),0)</f>
        <v>0</v>
      </c>
      <c r="I654" s="529">
        <f t="shared" si="79"/>
        <v>0</v>
      </c>
      <c r="J654" s="529">
        <f>IFERROR(VLOOKUP($B654,'3.Tasks'!$BK$4:$BO$23,3,FALSE),0)</f>
        <v>0</v>
      </c>
      <c r="K654" s="529">
        <f t="shared" si="80"/>
        <v>0</v>
      </c>
      <c r="L654" s="529">
        <f>IFERROR(VLOOKUP($B654,'3.Tasks'!$BK$4:$BO$23,4,FALSE),0)</f>
        <v>0</v>
      </c>
      <c r="M654" s="529">
        <f t="shared" si="81"/>
        <v>0</v>
      </c>
      <c r="N654" s="529">
        <f>IFERROR(VLOOKUP($B654,'3.Tasks'!$BK$4:$BO$23,5,FALSE),0)</f>
        <v>0</v>
      </c>
      <c r="O654" s="529">
        <f t="shared" si="82"/>
        <v>0</v>
      </c>
      <c r="P654" s="530">
        <f t="shared" si="84"/>
        <v>0</v>
      </c>
    </row>
    <row r="655" spans="1:16">
      <c r="A655" s="529">
        <f>+'6.Other Exp. Categories'!A56</f>
        <v>54</v>
      </c>
      <c r="B655" s="529">
        <f>+'6.Other Exp. Categories'!F56</f>
        <v>0</v>
      </c>
      <c r="D655" s="529">
        <f>+'6.Other Exp. Categories'!E56</f>
        <v>0</v>
      </c>
      <c r="E655" s="531">
        <f>+'6.Other Exp. Categories'!B56</f>
        <v>0</v>
      </c>
      <c r="F655" s="529">
        <f>+'6.Other Exp. Categories'!C56</f>
        <v>0</v>
      </c>
      <c r="G655" s="526">
        <f t="shared" si="83"/>
        <v>0</v>
      </c>
      <c r="H655" s="525">
        <f>IFERROR(VLOOKUP($B655,'3.Tasks'!$BK$4:$BO$23,2,FALSE),0)</f>
        <v>0</v>
      </c>
      <c r="I655" s="529">
        <f t="shared" si="79"/>
        <v>0</v>
      </c>
      <c r="J655" s="529">
        <f>IFERROR(VLOOKUP($B655,'3.Tasks'!$BK$4:$BO$23,3,FALSE),0)</f>
        <v>0</v>
      </c>
      <c r="K655" s="529">
        <f t="shared" si="80"/>
        <v>0</v>
      </c>
      <c r="L655" s="529">
        <f>IFERROR(VLOOKUP($B655,'3.Tasks'!$BK$4:$BO$23,4,FALSE),0)</f>
        <v>0</v>
      </c>
      <c r="M655" s="529">
        <f t="shared" si="81"/>
        <v>0</v>
      </c>
      <c r="N655" s="529">
        <f>IFERROR(VLOOKUP($B655,'3.Tasks'!$BK$4:$BO$23,5,FALSE),0)</f>
        <v>0</v>
      </c>
      <c r="O655" s="529">
        <f t="shared" si="82"/>
        <v>0</v>
      </c>
      <c r="P655" s="530">
        <f t="shared" si="84"/>
        <v>0</v>
      </c>
    </row>
    <row r="656" spans="1:16">
      <c r="A656" s="529">
        <f>+'6.Other Exp. Categories'!A57</f>
        <v>55</v>
      </c>
      <c r="B656" s="529">
        <f>+'6.Other Exp. Categories'!F57</f>
        <v>0</v>
      </c>
      <c r="D656" s="529">
        <f>+'6.Other Exp. Categories'!E57</f>
        <v>0</v>
      </c>
      <c r="E656" s="531">
        <f>+'6.Other Exp. Categories'!B57</f>
        <v>0</v>
      </c>
      <c r="F656" s="529">
        <f>+'6.Other Exp. Categories'!C57</f>
        <v>0</v>
      </c>
      <c r="G656" s="526">
        <f t="shared" si="83"/>
        <v>0</v>
      </c>
      <c r="H656" s="525">
        <f>IFERROR(VLOOKUP($B656,'3.Tasks'!$BK$4:$BO$23,2,FALSE),0)</f>
        <v>0</v>
      </c>
      <c r="I656" s="529">
        <f t="shared" si="79"/>
        <v>0</v>
      </c>
      <c r="J656" s="529">
        <f>IFERROR(VLOOKUP($B656,'3.Tasks'!$BK$4:$BO$23,3,FALSE),0)</f>
        <v>0</v>
      </c>
      <c r="K656" s="529">
        <f t="shared" si="80"/>
        <v>0</v>
      </c>
      <c r="L656" s="529">
        <f>IFERROR(VLOOKUP($B656,'3.Tasks'!$BK$4:$BO$23,4,FALSE),0)</f>
        <v>0</v>
      </c>
      <c r="M656" s="529">
        <f t="shared" si="81"/>
        <v>0</v>
      </c>
      <c r="N656" s="529">
        <f>IFERROR(VLOOKUP($B656,'3.Tasks'!$BK$4:$BO$23,5,FALSE),0)</f>
        <v>0</v>
      </c>
      <c r="O656" s="529">
        <f t="shared" si="82"/>
        <v>0</v>
      </c>
      <c r="P656" s="530">
        <f t="shared" si="84"/>
        <v>0</v>
      </c>
    </row>
    <row r="657" spans="1:16">
      <c r="A657" s="529">
        <f>+'6.Other Exp. Categories'!A58</f>
        <v>56</v>
      </c>
      <c r="B657" s="529">
        <f>+'6.Other Exp. Categories'!F58</f>
        <v>0</v>
      </c>
      <c r="D657" s="529">
        <f>+'6.Other Exp. Categories'!E58</f>
        <v>0</v>
      </c>
      <c r="E657" s="531">
        <f>+'6.Other Exp. Categories'!B58</f>
        <v>0</v>
      </c>
      <c r="F657" s="529">
        <f>+'6.Other Exp. Categories'!C58</f>
        <v>0</v>
      </c>
      <c r="G657" s="526">
        <f t="shared" si="83"/>
        <v>0</v>
      </c>
      <c r="H657" s="525">
        <f>IFERROR(VLOOKUP($B657,'3.Tasks'!$BK$4:$BO$23,2,FALSE),0)</f>
        <v>0</v>
      </c>
      <c r="I657" s="529">
        <f t="shared" si="79"/>
        <v>0</v>
      </c>
      <c r="J657" s="529">
        <f>IFERROR(VLOOKUP($B657,'3.Tasks'!$BK$4:$BO$23,3,FALSE),0)</f>
        <v>0</v>
      </c>
      <c r="K657" s="529">
        <f t="shared" si="80"/>
        <v>0</v>
      </c>
      <c r="L657" s="529">
        <f>IFERROR(VLOOKUP($B657,'3.Tasks'!$BK$4:$BO$23,4,FALSE),0)</f>
        <v>0</v>
      </c>
      <c r="M657" s="529">
        <f t="shared" si="81"/>
        <v>0</v>
      </c>
      <c r="N657" s="529">
        <f>IFERROR(VLOOKUP($B657,'3.Tasks'!$BK$4:$BO$23,5,FALSE),0)</f>
        <v>0</v>
      </c>
      <c r="O657" s="529">
        <f t="shared" si="82"/>
        <v>0</v>
      </c>
      <c r="P657" s="530">
        <f t="shared" si="84"/>
        <v>0</v>
      </c>
    </row>
    <row r="658" spans="1:16">
      <c r="A658" s="529">
        <f>+'6.Other Exp. Categories'!A59</f>
        <v>57</v>
      </c>
      <c r="B658" s="529">
        <f>+'6.Other Exp. Categories'!F59</f>
        <v>0</v>
      </c>
      <c r="D658" s="529">
        <f>+'6.Other Exp. Categories'!E59</f>
        <v>0</v>
      </c>
      <c r="E658" s="531">
        <f>+'6.Other Exp. Categories'!B59</f>
        <v>0</v>
      </c>
      <c r="F658" s="529">
        <f>+'6.Other Exp. Categories'!C59</f>
        <v>0</v>
      </c>
      <c r="G658" s="526">
        <f t="shared" si="83"/>
        <v>0</v>
      </c>
      <c r="H658" s="525">
        <f>IFERROR(VLOOKUP($B658,'3.Tasks'!$BK$4:$BO$23,2,FALSE),0)</f>
        <v>0</v>
      </c>
      <c r="I658" s="529">
        <f t="shared" si="79"/>
        <v>0</v>
      </c>
      <c r="J658" s="529">
        <f>IFERROR(VLOOKUP($B658,'3.Tasks'!$BK$4:$BO$23,3,FALSE),0)</f>
        <v>0</v>
      </c>
      <c r="K658" s="529">
        <f t="shared" si="80"/>
        <v>0</v>
      </c>
      <c r="L658" s="529">
        <f>IFERROR(VLOOKUP($B658,'3.Tasks'!$BK$4:$BO$23,4,FALSE),0)</f>
        <v>0</v>
      </c>
      <c r="M658" s="529">
        <f t="shared" si="81"/>
        <v>0</v>
      </c>
      <c r="N658" s="529">
        <f>IFERROR(VLOOKUP($B658,'3.Tasks'!$BK$4:$BO$23,5,FALSE),0)</f>
        <v>0</v>
      </c>
      <c r="O658" s="529">
        <f t="shared" si="82"/>
        <v>0</v>
      </c>
      <c r="P658" s="530">
        <f t="shared" si="84"/>
        <v>0</v>
      </c>
    </row>
    <row r="659" spans="1:16">
      <c r="A659" s="529">
        <f>+'6.Other Exp. Categories'!A60</f>
        <v>58</v>
      </c>
      <c r="B659" s="529">
        <f>+'6.Other Exp. Categories'!F60</f>
        <v>0</v>
      </c>
      <c r="D659" s="529">
        <f>+'6.Other Exp. Categories'!E60</f>
        <v>0</v>
      </c>
      <c r="E659" s="531">
        <f>+'6.Other Exp. Categories'!B60</f>
        <v>0</v>
      </c>
      <c r="F659" s="529">
        <f>+'6.Other Exp. Categories'!C60</f>
        <v>0</v>
      </c>
      <c r="G659" s="526">
        <f t="shared" si="83"/>
        <v>0</v>
      </c>
      <c r="H659" s="525">
        <f>IFERROR(VLOOKUP($B659,'3.Tasks'!$BK$4:$BO$23,2,FALSE),0)</f>
        <v>0</v>
      </c>
      <c r="I659" s="529">
        <f t="shared" si="79"/>
        <v>0</v>
      </c>
      <c r="J659" s="529">
        <f>IFERROR(VLOOKUP($B659,'3.Tasks'!$BK$4:$BO$23,3,FALSE),0)</f>
        <v>0</v>
      </c>
      <c r="K659" s="529">
        <f t="shared" si="80"/>
        <v>0</v>
      </c>
      <c r="L659" s="529">
        <f>IFERROR(VLOOKUP($B659,'3.Tasks'!$BK$4:$BO$23,4,FALSE),0)</f>
        <v>0</v>
      </c>
      <c r="M659" s="529">
        <f t="shared" si="81"/>
        <v>0</v>
      </c>
      <c r="N659" s="529">
        <f>IFERROR(VLOOKUP($B659,'3.Tasks'!$BK$4:$BO$23,5,FALSE),0)</f>
        <v>0</v>
      </c>
      <c r="O659" s="529">
        <f t="shared" si="82"/>
        <v>0</v>
      </c>
      <c r="P659" s="530">
        <f t="shared" si="84"/>
        <v>0</v>
      </c>
    </row>
    <row r="660" spans="1:16">
      <c r="A660" s="529">
        <f>+'6.Other Exp. Categories'!A61</f>
        <v>59</v>
      </c>
      <c r="B660" s="529">
        <f>+'6.Other Exp. Categories'!F61</f>
        <v>0</v>
      </c>
      <c r="D660" s="529">
        <f>+'6.Other Exp. Categories'!E61</f>
        <v>0</v>
      </c>
      <c r="E660" s="531">
        <f>+'6.Other Exp. Categories'!B61</f>
        <v>0</v>
      </c>
      <c r="F660" s="529">
        <f>+'6.Other Exp. Categories'!C61</f>
        <v>0</v>
      </c>
      <c r="G660" s="526">
        <f t="shared" si="83"/>
        <v>0</v>
      </c>
      <c r="H660" s="525">
        <f>IFERROR(VLOOKUP($B660,'3.Tasks'!$BK$4:$BO$23,2,FALSE),0)</f>
        <v>0</v>
      </c>
      <c r="I660" s="529">
        <f t="shared" si="79"/>
        <v>0</v>
      </c>
      <c r="J660" s="529">
        <f>IFERROR(VLOOKUP($B660,'3.Tasks'!$BK$4:$BO$23,3,FALSE),0)</f>
        <v>0</v>
      </c>
      <c r="K660" s="529">
        <f t="shared" si="80"/>
        <v>0</v>
      </c>
      <c r="L660" s="529">
        <f>IFERROR(VLOOKUP($B660,'3.Tasks'!$BK$4:$BO$23,4,FALSE),0)</f>
        <v>0</v>
      </c>
      <c r="M660" s="529">
        <f t="shared" si="81"/>
        <v>0</v>
      </c>
      <c r="N660" s="529">
        <f>IFERROR(VLOOKUP($B660,'3.Tasks'!$BK$4:$BO$23,5,FALSE),0)</f>
        <v>0</v>
      </c>
      <c r="O660" s="529">
        <f t="shared" si="82"/>
        <v>0</v>
      </c>
      <c r="P660" s="530">
        <f t="shared" si="84"/>
        <v>0</v>
      </c>
    </row>
    <row r="661" spans="1:16">
      <c r="A661" s="529">
        <f>+'6.Other Exp. Categories'!A62</f>
        <v>60</v>
      </c>
      <c r="B661" s="529">
        <f>+'6.Other Exp. Categories'!F62</f>
        <v>0</v>
      </c>
      <c r="D661" s="529">
        <f>+'6.Other Exp. Categories'!E62</f>
        <v>0</v>
      </c>
      <c r="E661" s="531">
        <f>+'6.Other Exp. Categories'!B62</f>
        <v>0</v>
      </c>
      <c r="F661" s="529">
        <f>+'6.Other Exp. Categories'!C62</f>
        <v>0</v>
      </c>
      <c r="G661" s="526">
        <f t="shared" si="83"/>
        <v>0</v>
      </c>
      <c r="H661" s="525">
        <f>IFERROR(VLOOKUP($B661,'3.Tasks'!$BK$4:$BO$23,2,FALSE),0)</f>
        <v>0</v>
      </c>
      <c r="I661" s="529">
        <f t="shared" si="79"/>
        <v>0</v>
      </c>
      <c r="J661" s="529">
        <f>IFERROR(VLOOKUP($B661,'3.Tasks'!$BK$4:$BO$23,3,FALSE),0)</f>
        <v>0</v>
      </c>
      <c r="K661" s="529">
        <f t="shared" si="80"/>
        <v>0</v>
      </c>
      <c r="L661" s="529">
        <f>IFERROR(VLOOKUP($B661,'3.Tasks'!$BK$4:$BO$23,4,FALSE),0)</f>
        <v>0</v>
      </c>
      <c r="M661" s="529">
        <f t="shared" si="81"/>
        <v>0</v>
      </c>
      <c r="N661" s="529">
        <f>IFERROR(VLOOKUP($B661,'3.Tasks'!$BK$4:$BO$23,5,FALSE),0)</f>
        <v>0</v>
      </c>
      <c r="O661" s="529">
        <f t="shared" si="82"/>
        <v>0</v>
      </c>
      <c r="P661" s="530">
        <f t="shared" si="84"/>
        <v>0</v>
      </c>
    </row>
    <row r="662" spans="1:16">
      <c r="A662" s="529">
        <f>+'6.Other Exp. Categories'!A63</f>
        <v>61</v>
      </c>
      <c r="B662" s="529">
        <f>+'6.Other Exp. Categories'!F63</f>
        <v>0</v>
      </c>
      <c r="D662" s="529">
        <f>+'6.Other Exp. Categories'!E63</f>
        <v>0</v>
      </c>
      <c r="E662" s="531">
        <f>+'6.Other Exp. Categories'!B63</f>
        <v>0</v>
      </c>
      <c r="F662" s="529">
        <f>+'6.Other Exp. Categories'!C63</f>
        <v>0</v>
      </c>
      <c r="G662" s="526">
        <f t="shared" si="83"/>
        <v>0</v>
      </c>
      <c r="H662" s="525">
        <f>IFERROR(VLOOKUP($B662,'3.Tasks'!$BK$4:$BO$23,2,FALSE),0)</f>
        <v>0</v>
      </c>
      <c r="I662" s="529">
        <f t="shared" si="79"/>
        <v>0</v>
      </c>
      <c r="J662" s="529">
        <f>IFERROR(VLOOKUP($B662,'3.Tasks'!$BK$4:$BO$23,3,FALSE),0)</f>
        <v>0</v>
      </c>
      <c r="K662" s="529">
        <f t="shared" si="80"/>
        <v>0</v>
      </c>
      <c r="L662" s="529">
        <f>IFERROR(VLOOKUP($B662,'3.Tasks'!$BK$4:$BO$23,4,FALSE),0)</f>
        <v>0</v>
      </c>
      <c r="M662" s="529">
        <f t="shared" si="81"/>
        <v>0</v>
      </c>
      <c r="N662" s="529">
        <f>IFERROR(VLOOKUP($B662,'3.Tasks'!$BK$4:$BO$23,5,FALSE),0)</f>
        <v>0</v>
      </c>
      <c r="O662" s="529">
        <f t="shared" si="82"/>
        <v>0</v>
      </c>
      <c r="P662" s="530">
        <f t="shared" si="84"/>
        <v>0</v>
      </c>
    </row>
    <row r="663" spans="1:16">
      <c r="A663" s="529">
        <f>+'6.Other Exp. Categories'!A64</f>
        <v>62</v>
      </c>
      <c r="B663" s="529">
        <f>+'6.Other Exp. Categories'!F64</f>
        <v>0</v>
      </c>
      <c r="D663" s="529">
        <f>+'6.Other Exp. Categories'!E64</f>
        <v>0</v>
      </c>
      <c r="E663" s="531">
        <f>+'6.Other Exp. Categories'!B64</f>
        <v>0</v>
      </c>
      <c r="F663" s="529">
        <f>+'6.Other Exp. Categories'!C64</f>
        <v>0</v>
      </c>
      <c r="G663" s="526">
        <f t="shared" si="83"/>
        <v>0</v>
      </c>
      <c r="H663" s="525">
        <f>IFERROR(VLOOKUP($B663,'3.Tasks'!$BK$4:$BO$23,2,FALSE),0)</f>
        <v>0</v>
      </c>
      <c r="I663" s="529">
        <f t="shared" si="79"/>
        <v>0</v>
      </c>
      <c r="J663" s="529">
        <f>IFERROR(VLOOKUP($B663,'3.Tasks'!$BK$4:$BO$23,3,FALSE),0)</f>
        <v>0</v>
      </c>
      <c r="K663" s="529">
        <f t="shared" si="80"/>
        <v>0</v>
      </c>
      <c r="L663" s="529">
        <f>IFERROR(VLOOKUP($B663,'3.Tasks'!$BK$4:$BO$23,4,FALSE),0)</f>
        <v>0</v>
      </c>
      <c r="M663" s="529">
        <f t="shared" si="81"/>
        <v>0</v>
      </c>
      <c r="N663" s="529">
        <f>IFERROR(VLOOKUP($B663,'3.Tasks'!$BK$4:$BO$23,5,FALSE),0)</f>
        <v>0</v>
      </c>
      <c r="O663" s="529">
        <f t="shared" si="82"/>
        <v>0</v>
      </c>
      <c r="P663" s="530">
        <f t="shared" si="84"/>
        <v>0</v>
      </c>
    </row>
    <row r="664" spans="1:16">
      <c r="A664" s="529">
        <f>+'6.Other Exp. Categories'!A65</f>
        <v>63</v>
      </c>
      <c r="B664" s="529">
        <f>+'6.Other Exp. Categories'!F65</f>
        <v>0</v>
      </c>
      <c r="D664" s="529">
        <f>+'6.Other Exp. Categories'!E65</f>
        <v>0</v>
      </c>
      <c r="E664" s="531">
        <f>+'6.Other Exp. Categories'!B65</f>
        <v>0</v>
      </c>
      <c r="F664" s="529">
        <f>+'6.Other Exp. Categories'!C65</f>
        <v>0</v>
      </c>
      <c r="G664" s="526">
        <f t="shared" si="83"/>
        <v>0</v>
      </c>
      <c r="H664" s="525">
        <f>IFERROR(VLOOKUP($B664,'3.Tasks'!$BK$4:$BO$23,2,FALSE),0)</f>
        <v>0</v>
      </c>
      <c r="I664" s="529">
        <f t="shared" si="79"/>
        <v>0</v>
      </c>
      <c r="J664" s="529">
        <f>IFERROR(VLOOKUP($B664,'3.Tasks'!$BK$4:$BO$23,3,FALSE),0)</f>
        <v>0</v>
      </c>
      <c r="K664" s="529">
        <f t="shared" si="80"/>
        <v>0</v>
      </c>
      <c r="L664" s="529">
        <f>IFERROR(VLOOKUP($B664,'3.Tasks'!$BK$4:$BO$23,4,FALSE),0)</f>
        <v>0</v>
      </c>
      <c r="M664" s="529">
        <f t="shared" si="81"/>
        <v>0</v>
      </c>
      <c r="N664" s="529">
        <f>IFERROR(VLOOKUP($B664,'3.Tasks'!$BK$4:$BO$23,5,FALSE),0)</f>
        <v>0</v>
      </c>
      <c r="O664" s="529">
        <f t="shared" si="82"/>
        <v>0</v>
      </c>
      <c r="P664" s="530">
        <f t="shared" si="84"/>
        <v>0</v>
      </c>
    </row>
    <row r="665" spans="1:16">
      <c r="A665" s="529">
        <f>+'6.Other Exp. Categories'!A66</f>
        <v>64</v>
      </c>
      <c r="B665" s="529">
        <f>+'6.Other Exp. Categories'!F66</f>
        <v>0</v>
      </c>
      <c r="D665" s="529">
        <f>+'6.Other Exp. Categories'!E66</f>
        <v>0</v>
      </c>
      <c r="E665" s="531">
        <f>+'6.Other Exp. Categories'!B66</f>
        <v>0</v>
      </c>
      <c r="F665" s="529">
        <f>+'6.Other Exp. Categories'!C66</f>
        <v>0</v>
      </c>
      <c r="G665" s="526">
        <f t="shared" si="83"/>
        <v>0</v>
      </c>
      <c r="H665" s="525">
        <f>IFERROR(VLOOKUP($B665,'3.Tasks'!$BK$4:$BO$23,2,FALSE),0)</f>
        <v>0</v>
      </c>
      <c r="I665" s="529">
        <f t="shared" si="79"/>
        <v>0</v>
      </c>
      <c r="J665" s="529">
        <f>IFERROR(VLOOKUP($B665,'3.Tasks'!$BK$4:$BO$23,3,FALSE),0)</f>
        <v>0</v>
      </c>
      <c r="K665" s="529">
        <f t="shared" si="80"/>
        <v>0</v>
      </c>
      <c r="L665" s="529">
        <f>IFERROR(VLOOKUP($B665,'3.Tasks'!$BK$4:$BO$23,4,FALSE),0)</f>
        <v>0</v>
      </c>
      <c r="M665" s="529">
        <f t="shared" si="81"/>
        <v>0</v>
      </c>
      <c r="N665" s="529">
        <f>IFERROR(VLOOKUP($B665,'3.Tasks'!$BK$4:$BO$23,5,FALSE),0)</f>
        <v>0</v>
      </c>
      <c r="O665" s="529">
        <f t="shared" si="82"/>
        <v>0</v>
      </c>
      <c r="P665" s="530">
        <f t="shared" si="84"/>
        <v>0</v>
      </c>
    </row>
    <row r="666" spans="1:16">
      <c r="A666" s="529">
        <f>+'6.Other Exp. Categories'!A67</f>
        <v>65</v>
      </c>
      <c r="B666" s="529">
        <f>+'6.Other Exp. Categories'!F67</f>
        <v>0</v>
      </c>
      <c r="D666" s="529">
        <f>+'6.Other Exp. Categories'!E67</f>
        <v>0</v>
      </c>
      <c r="E666" s="531">
        <f>+'6.Other Exp. Categories'!B67</f>
        <v>0</v>
      </c>
      <c r="F666" s="529">
        <f>+'6.Other Exp. Categories'!C67</f>
        <v>0</v>
      </c>
      <c r="G666" s="526">
        <f t="shared" si="83"/>
        <v>0</v>
      </c>
      <c r="H666" s="525">
        <f>IFERROR(VLOOKUP($B666,'3.Tasks'!$BK$4:$BO$23,2,FALSE),0)</f>
        <v>0</v>
      </c>
      <c r="I666" s="529">
        <f t="shared" ref="I666:I701" si="85">IFERROR(($F666/$G666*H666),0)</f>
        <v>0</v>
      </c>
      <c r="J666" s="529">
        <f>IFERROR(VLOOKUP($B666,'3.Tasks'!$BK$4:$BO$23,3,FALSE),0)</f>
        <v>0</v>
      </c>
      <c r="K666" s="529">
        <f t="shared" ref="K666:K701" si="86">IFERROR(($F666/$G666*J666),0)</f>
        <v>0</v>
      </c>
      <c r="L666" s="529">
        <f>IFERROR(VLOOKUP($B666,'3.Tasks'!$BK$4:$BO$23,4,FALSE),0)</f>
        <v>0</v>
      </c>
      <c r="M666" s="529">
        <f t="shared" ref="M666:M701" si="87">IFERROR(($F666/$G666*L666),0)</f>
        <v>0</v>
      </c>
      <c r="N666" s="529">
        <f>IFERROR(VLOOKUP($B666,'3.Tasks'!$BK$4:$BO$23,5,FALSE),0)</f>
        <v>0</v>
      </c>
      <c r="O666" s="529">
        <f t="shared" ref="O666:O701" si="88">IFERROR(($F666/$G666*N666),0)</f>
        <v>0</v>
      </c>
      <c r="P666" s="530">
        <f t="shared" si="84"/>
        <v>0</v>
      </c>
    </row>
    <row r="667" spans="1:16">
      <c r="A667" s="529">
        <f>+'6.Other Exp. Categories'!A68</f>
        <v>66</v>
      </c>
      <c r="B667" s="529">
        <f>+'6.Other Exp. Categories'!F68</f>
        <v>0</v>
      </c>
      <c r="D667" s="529">
        <f>+'6.Other Exp. Categories'!E68</f>
        <v>0</v>
      </c>
      <c r="E667" s="531">
        <f>+'6.Other Exp. Categories'!B68</f>
        <v>0</v>
      </c>
      <c r="F667" s="529">
        <f>+'6.Other Exp. Categories'!C68</f>
        <v>0</v>
      </c>
      <c r="G667" s="526">
        <f t="shared" ref="G667:G701" si="89">IFERROR((H667+J667+L667+N667),0)</f>
        <v>0</v>
      </c>
      <c r="H667" s="525">
        <f>IFERROR(VLOOKUP($B667,'3.Tasks'!$BK$4:$BO$23,2,FALSE),0)</f>
        <v>0</v>
      </c>
      <c r="I667" s="529">
        <f t="shared" si="85"/>
        <v>0</v>
      </c>
      <c r="J667" s="529">
        <f>IFERROR(VLOOKUP($B667,'3.Tasks'!$BK$4:$BO$23,3,FALSE),0)</f>
        <v>0</v>
      </c>
      <c r="K667" s="529">
        <f t="shared" si="86"/>
        <v>0</v>
      </c>
      <c r="L667" s="529">
        <f>IFERROR(VLOOKUP($B667,'3.Tasks'!$BK$4:$BO$23,4,FALSE),0)</f>
        <v>0</v>
      </c>
      <c r="M667" s="529">
        <f t="shared" si="87"/>
        <v>0</v>
      </c>
      <c r="N667" s="529">
        <f>IFERROR(VLOOKUP($B667,'3.Tasks'!$BK$4:$BO$23,5,FALSE),0)</f>
        <v>0</v>
      </c>
      <c r="O667" s="529">
        <f t="shared" si="88"/>
        <v>0</v>
      </c>
      <c r="P667" s="530">
        <f t="shared" ref="P667:P701" si="90">+F667-I667-K667-M667-O667</f>
        <v>0</v>
      </c>
    </row>
    <row r="668" spans="1:16">
      <c r="A668" s="529">
        <f>+'6.Other Exp. Categories'!A69</f>
        <v>67</v>
      </c>
      <c r="B668" s="529">
        <f>+'6.Other Exp. Categories'!F69</f>
        <v>0</v>
      </c>
      <c r="D668" s="529">
        <f>+'6.Other Exp. Categories'!E69</f>
        <v>0</v>
      </c>
      <c r="E668" s="531">
        <f>+'6.Other Exp. Categories'!B69</f>
        <v>0</v>
      </c>
      <c r="F668" s="529">
        <f>+'6.Other Exp. Categories'!C69</f>
        <v>0</v>
      </c>
      <c r="G668" s="526">
        <f t="shared" si="89"/>
        <v>0</v>
      </c>
      <c r="H668" s="525">
        <f>IFERROR(VLOOKUP($B668,'3.Tasks'!$BK$4:$BO$23,2,FALSE),0)</f>
        <v>0</v>
      </c>
      <c r="I668" s="529">
        <f t="shared" si="85"/>
        <v>0</v>
      </c>
      <c r="J668" s="529">
        <f>IFERROR(VLOOKUP($B668,'3.Tasks'!$BK$4:$BO$23,3,FALSE),0)</f>
        <v>0</v>
      </c>
      <c r="K668" s="529">
        <f t="shared" si="86"/>
        <v>0</v>
      </c>
      <c r="L668" s="529">
        <f>IFERROR(VLOOKUP($B668,'3.Tasks'!$BK$4:$BO$23,4,FALSE),0)</f>
        <v>0</v>
      </c>
      <c r="M668" s="529">
        <f t="shared" si="87"/>
        <v>0</v>
      </c>
      <c r="N668" s="529">
        <f>IFERROR(VLOOKUP($B668,'3.Tasks'!$BK$4:$BO$23,5,FALSE),0)</f>
        <v>0</v>
      </c>
      <c r="O668" s="529">
        <f t="shared" si="88"/>
        <v>0</v>
      </c>
      <c r="P668" s="530">
        <f t="shared" si="90"/>
        <v>0</v>
      </c>
    </row>
    <row r="669" spans="1:16">
      <c r="A669" s="529">
        <f>+'6.Other Exp. Categories'!A70</f>
        <v>68</v>
      </c>
      <c r="B669" s="529">
        <f>+'6.Other Exp. Categories'!F70</f>
        <v>0</v>
      </c>
      <c r="D669" s="529">
        <f>+'6.Other Exp. Categories'!E70</f>
        <v>0</v>
      </c>
      <c r="E669" s="531">
        <f>+'6.Other Exp. Categories'!B70</f>
        <v>0</v>
      </c>
      <c r="F669" s="529">
        <f>+'6.Other Exp. Categories'!C70</f>
        <v>0</v>
      </c>
      <c r="G669" s="526">
        <f t="shared" si="89"/>
        <v>0</v>
      </c>
      <c r="H669" s="525">
        <f>IFERROR(VLOOKUP($B669,'3.Tasks'!$BK$4:$BO$23,2,FALSE),0)</f>
        <v>0</v>
      </c>
      <c r="I669" s="529">
        <f t="shared" si="85"/>
        <v>0</v>
      </c>
      <c r="J669" s="529">
        <f>IFERROR(VLOOKUP($B669,'3.Tasks'!$BK$4:$BO$23,3,FALSE),0)</f>
        <v>0</v>
      </c>
      <c r="K669" s="529">
        <f t="shared" si="86"/>
        <v>0</v>
      </c>
      <c r="L669" s="529">
        <f>IFERROR(VLOOKUP($B669,'3.Tasks'!$BK$4:$BO$23,4,FALSE),0)</f>
        <v>0</v>
      </c>
      <c r="M669" s="529">
        <f t="shared" si="87"/>
        <v>0</v>
      </c>
      <c r="N669" s="529">
        <f>IFERROR(VLOOKUP($B669,'3.Tasks'!$BK$4:$BO$23,5,FALSE),0)</f>
        <v>0</v>
      </c>
      <c r="O669" s="529">
        <f t="shared" si="88"/>
        <v>0</v>
      </c>
      <c r="P669" s="530">
        <f t="shared" si="90"/>
        <v>0</v>
      </c>
    </row>
    <row r="670" spans="1:16">
      <c r="A670" s="529">
        <f>+'6.Other Exp. Categories'!A71</f>
        <v>69</v>
      </c>
      <c r="B670" s="529">
        <f>+'6.Other Exp. Categories'!F71</f>
        <v>0</v>
      </c>
      <c r="D670" s="529">
        <f>+'6.Other Exp. Categories'!E71</f>
        <v>0</v>
      </c>
      <c r="E670" s="531">
        <f>+'6.Other Exp. Categories'!B71</f>
        <v>0</v>
      </c>
      <c r="F670" s="529">
        <f>+'6.Other Exp. Categories'!C71</f>
        <v>0</v>
      </c>
      <c r="G670" s="526">
        <f t="shared" si="89"/>
        <v>0</v>
      </c>
      <c r="H670" s="525">
        <f>IFERROR(VLOOKUP($B670,'3.Tasks'!$BK$4:$BO$23,2,FALSE),0)</f>
        <v>0</v>
      </c>
      <c r="I670" s="529">
        <f t="shared" si="85"/>
        <v>0</v>
      </c>
      <c r="J670" s="529">
        <f>IFERROR(VLOOKUP($B670,'3.Tasks'!$BK$4:$BO$23,3,FALSE),0)</f>
        <v>0</v>
      </c>
      <c r="K670" s="529">
        <f t="shared" si="86"/>
        <v>0</v>
      </c>
      <c r="L670" s="529">
        <f>IFERROR(VLOOKUP($B670,'3.Tasks'!$BK$4:$BO$23,4,FALSE),0)</f>
        <v>0</v>
      </c>
      <c r="M670" s="529">
        <f t="shared" si="87"/>
        <v>0</v>
      </c>
      <c r="N670" s="529">
        <f>IFERROR(VLOOKUP($B670,'3.Tasks'!$BK$4:$BO$23,5,FALSE),0)</f>
        <v>0</v>
      </c>
      <c r="O670" s="529">
        <f t="shared" si="88"/>
        <v>0</v>
      </c>
      <c r="P670" s="530">
        <f t="shared" si="90"/>
        <v>0</v>
      </c>
    </row>
    <row r="671" spans="1:16">
      <c r="A671" s="529">
        <f>+'6.Other Exp. Categories'!A72</f>
        <v>70</v>
      </c>
      <c r="B671" s="529">
        <f>+'6.Other Exp. Categories'!F72</f>
        <v>0</v>
      </c>
      <c r="D671" s="529">
        <f>+'6.Other Exp. Categories'!E72</f>
        <v>0</v>
      </c>
      <c r="E671" s="531">
        <f>+'6.Other Exp. Categories'!B72</f>
        <v>0</v>
      </c>
      <c r="F671" s="529">
        <f>+'6.Other Exp. Categories'!C72</f>
        <v>0</v>
      </c>
      <c r="G671" s="526">
        <f t="shared" si="89"/>
        <v>0</v>
      </c>
      <c r="H671" s="525">
        <f>IFERROR(VLOOKUP($B671,'3.Tasks'!$BK$4:$BO$23,2,FALSE),0)</f>
        <v>0</v>
      </c>
      <c r="I671" s="529">
        <f t="shared" si="85"/>
        <v>0</v>
      </c>
      <c r="J671" s="529">
        <f>IFERROR(VLOOKUP($B671,'3.Tasks'!$BK$4:$BO$23,3,FALSE),0)</f>
        <v>0</v>
      </c>
      <c r="K671" s="529">
        <f t="shared" si="86"/>
        <v>0</v>
      </c>
      <c r="L671" s="529">
        <f>IFERROR(VLOOKUP($B671,'3.Tasks'!$BK$4:$BO$23,4,FALSE),0)</f>
        <v>0</v>
      </c>
      <c r="M671" s="529">
        <f t="shared" si="87"/>
        <v>0</v>
      </c>
      <c r="N671" s="529">
        <f>IFERROR(VLOOKUP($B671,'3.Tasks'!$BK$4:$BO$23,5,FALSE),0)</f>
        <v>0</v>
      </c>
      <c r="O671" s="529">
        <f t="shared" si="88"/>
        <v>0</v>
      </c>
      <c r="P671" s="530">
        <f t="shared" si="90"/>
        <v>0</v>
      </c>
    </row>
    <row r="672" spans="1:16">
      <c r="A672" s="529">
        <f>+'6.Other Exp. Categories'!A73</f>
        <v>71</v>
      </c>
      <c r="B672" s="529">
        <f>+'6.Other Exp. Categories'!F73</f>
        <v>0</v>
      </c>
      <c r="D672" s="529">
        <f>+'6.Other Exp. Categories'!E73</f>
        <v>0</v>
      </c>
      <c r="E672" s="531">
        <f>+'6.Other Exp. Categories'!B73</f>
        <v>0</v>
      </c>
      <c r="F672" s="529">
        <f>+'6.Other Exp. Categories'!C73</f>
        <v>0</v>
      </c>
      <c r="G672" s="526">
        <f t="shared" si="89"/>
        <v>0</v>
      </c>
      <c r="H672" s="525">
        <f>IFERROR(VLOOKUP($B672,'3.Tasks'!$BK$4:$BO$23,2,FALSE),0)</f>
        <v>0</v>
      </c>
      <c r="I672" s="529">
        <f t="shared" si="85"/>
        <v>0</v>
      </c>
      <c r="J672" s="529">
        <f>IFERROR(VLOOKUP($B672,'3.Tasks'!$BK$4:$BO$23,3,FALSE),0)</f>
        <v>0</v>
      </c>
      <c r="K672" s="529">
        <f t="shared" si="86"/>
        <v>0</v>
      </c>
      <c r="L672" s="529">
        <f>IFERROR(VLOOKUP($B672,'3.Tasks'!$BK$4:$BO$23,4,FALSE),0)</f>
        <v>0</v>
      </c>
      <c r="M672" s="529">
        <f t="shared" si="87"/>
        <v>0</v>
      </c>
      <c r="N672" s="529">
        <f>IFERROR(VLOOKUP($B672,'3.Tasks'!$BK$4:$BO$23,5,FALSE),0)</f>
        <v>0</v>
      </c>
      <c r="O672" s="529">
        <f t="shared" si="88"/>
        <v>0</v>
      </c>
      <c r="P672" s="530">
        <f t="shared" si="90"/>
        <v>0</v>
      </c>
    </row>
    <row r="673" spans="1:16">
      <c r="A673" s="529">
        <f>+'6.Other Exp. Categories'!A74</f>
        <v>72</v>
      </c>
      <c r="B673" s="529">
        <f>+'6.Other Exp. Categories'!F74</f>
        <v>0</v>
      </c>
      <c r="D673" s="529">
        <f>+'6.Other Exp. Categories'!E74</f>
        <v>0</v>
      </c>
      <c r="E673" s="531">
        <f>+'6.Other Exp. Categories'!B74</f>
        <v>0</v>
      </c>
      <c r="F673" s="529">
        <f>+'6.Other Exp. Categories'!C74</f>
        <v>0</v>
      </c>
      <c r="G673" s="526">
        <f t="shared" si="89"/>
        <v>0</v>
      </c>
      <c r="H673" s="525">
        <f>IFERROR(VLOOKUP($B673,'3.Tasks'!$BK$4:$BO$23,2,FALSE),0)</f>
        <v>0</v>
      </c>
      <c r="I673" s="529">
        <f t="shared" si="85"/>
        <v>0</v>
      </c>
      <c r="J673" s="529">
        <f>IFERROR(VLOOKUP($B673,'3.Tasks'!$BK$4:$BO$23,3,FALSE),0)</f>
        <v>0</v>
      </c>
      <c r="K673" s="529">
        <f t="shared" si="86"/>
        <v>0</v>
      </c>
      <c r="L673" s="529">
        <f>IFERROR(VLOOKUP($B673,'3.Tasks'!$BK$4:$BO$23,4,FALSE),0)</f>
        <v>0</v>
      </c>
      <c r="M673" s="529">
        <f t="shared" si="87"/>
        <v>0</v>
      </c>
      <c r="N673" s="529">
        <f>IFERROR(VLOOKUP($B673,'3.Tasks'!$BK$4:$BO$23,5,FALSE),0)</f>
        <v>0</v>
      </c>
      <c r="O673" s="529">
        <f t="shared" si="88"/>
        <v>0</v>
      </c>
      <c r="P673" s="530">
        <f t="shared" si="90"/>
        <v>0</v>
      </c>
    </row>
    <row r="674" spans="1:16">
      <c r="A674" s="529">
        <f>+'6.Other Exp. Categories'!A75</f>
        <v>73</v>
      </c>
      <c r="B674" s="529">
        <f>+'6.Other Exp. Categories'!F75</f>
        <v>0</v>
      </c>
      <c r="D674" s="529">
        <f>+'6.Other Exp. Categories'!E75</f>
        <v>0</v>
      </c>
      <c r="E674" s="531">
        <f>+'6.Other Exp. Categories'!B75</f>
        <v>0</v>
      </c>
      <c r="F674" s="529">
        <f>+'6.Other Exp. Categories'!C75</f>
        <v>0</v>
      </c>
      <c r="G674" s="526">
        <f t="shared" si="89"/>
        <v>0</v>
      </c>
      <c r="H674" s="525">
        <f>IFERROR(VLOOKUP($B674,'3.Tasks'!$BK$4:$BO$23,2,FALSE),0)</f>
        <v>0</v>
      </c>
      <c r="I674" s="529">
        <f t="shared" si="85"/>
        <v>0</v>
      </c>
      <c r="J674" s="529">
        <f>IFERROR(VLOOKUP($B674,'3.Tasks'!$BK$4:$BO$23,3,FALSE),0)</f>
        <v>0</v>
      </c>
      <c r="K674" s="529">
        <f t="shared" si="86"/>
        <v>0</v>
      </c>
      <c r="L674" s="529">
        <f>IFERROR(VLOOKUP($B674,'3.Tasks'!$BK$4:$BO$23,4,FALSE),0)</f>
        <v>0</v>
      </c>
      <c r="M674" s="529">
        <f t="shared" si="87"/>
        <v>0</v>
      </c>
      <c r="N674" s="529">
        <f>IFERROR(VLOOKUP($B674,'3.Tasks'!$BK$4:$BO$23,5,FALSE),0)</f>
        <v>0</v>
      </c>
      <c r="O674" s="529">
        <f t="shared" si="88"/>
        <v>0</v>
      </c>
      <c r="P674" s="530">
        <f t="shared" si="90"/>
        <v>0</v>
      </c>
    </row>
    <row r="675" spans="1:16">
      <c r="A675" s="529">
        <f>+'6.Other Exp. Categories'!A76</f>
        <v>74</v>
      </c>
      <c r="B675" s="529">
        <f>+'6.Other Exp. Categories'!F76</f>
        <v>0</v>
      </c>
      <c r="D675" s="529">
        <f>+'6.Other Exp. Categories'!E76</f>
        <v>0</v>
      </c>
      <c r="E675" s="531">
        <f>+'6.Other Exp. Categories'!B76</f>
        <v>0</v>
      </c>
      <c r="F675" s="529">
        <f>+'6.Other Exp. Categories'!C76</f>
        <v>0</v>
      </c>
      <c r="G675" s="526">
        <f t="shared" si="89"/>
        <v>0</v>
      </c>
      <c r="H675" s="525">
        <f>IFERROR(VLOOKUP($B675,'3.Tasks'!$BK$4:$BO$23,2,FALSE),0)</f>
        <v>0</v>
      </c>
      <c r="I675" s="529">
        <f t="shared" si="85"/>
        <v>0</v>
      </c>
      <c r="J675" s="529">
        <f>IFERROR(VLOOKUP($B675,'3.Tasks'!$BK$4:$BO$23,3,FALSE),0)</f>
        <v>0</v>
      </c>
      <c r="K675" s="529">
        <f t="shared" si="86"/>
        <v>0</v>
      </c>
      <c r="L675" s="529">
        <f>IFERROR(VLOOKUP($B675,'3.Tasks'!$BK$4:$BO$23,4,FALSE),0)</f>
        <v>0</v>
      </c>
      <c r="M675" s="529">
        <f t="shared" si="87"/>
        <v>0</v>
      </c>
      <c r="N675" s="529">
        <f>IFERROR(VLOOKUP($B675,'3.Tasks'!$BK$4:$BO$23,5,FALSE),0)</f>
        <v>0</v>
      </c>
      <c r="O675" s="529">
        <f t="shared" si="88"/>
        <v>0</v>
      </c>
      <c r="P675" s="530">
        <f t="shared" si="90"/>
        <v>0</v>
      </c>
    </row>
    <row r="676" spans="1:16">
      <c r="A676" s="529">
        <f>+'6.Other Exp. Categories'!A77</f>
        <v>75</v>
      </c>
      <c r="B676" s="529">
        <f>+'6.Other Exp. Categories'!F77</f>
        <v>0</v>
      </c>
      <c r="D676" s="529">
        <f>+'6.Other Exp. Categories'!E77</f>
        <v>0</v>
      </c>
      <c r="E676" s="531">
        <f>+'6.Other Exp. Categories'!B77</f>
        <v>0</v>
      </c>
      <c r="F676" s="529">
        <f>+'6.Other Exp. Categories'!C77</f>
        <v>0</v>
      </c>
      <c r="G676" s="526">
        <f t="shared" si="89"/>
        <v>0</v>
      </c>
      <c r="H676" s="525">
        <f>IFERROR(VLOOKUP($B676,'3.Tasks'!$BK$4:$BO$23,2,FALSE),0)</f>
        <v>0</v>
      </c>
      <c r="I676" s="529">
        <f t="shared" si="85"/>
        <v>0</v>
      </c>
      <c r="J676" s="529">
        <f>IFERROR(VLOOKUP($B676,'3.Tasks'!$BK$4:$BO$23,3,FALSE),0)</f>
        <v>0</v>
      </c>
      <c r="K676" s="529">
        <f t="shared" si="86"/>
        <v>0</v>
      </c>
      <c r="L676" s="529">
        <f>IFERROR(VLOOKUP($B676,'3.Tasks'!$BK$4:$BO$23,4,FALSE),0)</f>
        <v>0</v>
      </c>
      <c r="M676" s="529">
        <f t="shared" si="87"/>
        <v>0</v>
      </c>
      <c r="N676" s="529">
        <f>IFERROR(VLOOKUP($B676,'3.Tasks'!$BK$4:$BO$23,5,FALSE),0)</f>
        <v>0</v>
      </c>
      <c r="O676" s="529">
        <f t="shared" si="88"/>
        <v>0</v>
      </c>
      <c r="P676" s="530">
        <f t="shared" si="90"/>
        <v>0</v>
      </c>
    </row>
    <row r="677" spans="1:16">
      <c r="A677" s="529">
        <f>+'6.Other Exp. Categories'!A78</f>
        <v>76</v>
      </c>
      <c r="B677" s="529">
        <f>+'6.Other Exp. Categories'!F78</f>
        <v>0</v>
      </c>
      <c r="D677" s="529">
        <f>+'6.Other Exp. Categories'!E78</f>
        <v>0</v>
      </c>
      <c r="E677" s="531">
        <f>+'6.Other Exp. Categories'!B78</f>
        <v>0</v>
      </c>
      <c r="F677" s="529">
        <f>+'6.Other Exp. Categories'!C78</f>
        <v>0</v>
      </c>
      <c r="G677" s="526">
        <f t="shared" si="89"/>
        <v>0</v>
      </c>
      <c r="H677" s="525">
        <f>IFERROR(VLOOKUP($B677,'3.Tasks'!$BK$4:$BO$23,2,FALSE),0)</f>
        <v>0</v>
      </c>
      <c r="I677" s="529">
        <f t="shared" si="85"/>
        <v>0</v>
      </c>
      <c r="J677" s="529">
        <f>IFERROR(VLOOKUP($B677,'3.Tasks'!$BK$4:$BO$23,3,FALSE),0)</f>
        <v>0</v>
      </c>
      <c r="K677" s="529">
        <f t="shared" si="86"/>
        <v>0</v>
      </c>
      <c r="L677" s="529">
        <f>IFERROR(VLOOKUP($B677,'3.Tasks'!$BK$4:$BO$23,4,FALSE),0)</f>
        <v>0</v>
      </c>
      <c r="M677" s="529">
        <f t="shared" si="87"/>
        <v>0</v>
      </c>
      <c r="N677" s="529">
        <f>IFERROR(VLOOKUP($B677,'3.Tasks'!$BK$4:$BO$23,5,FALSE),0)</f>
        <v>0</v>
      </c>
      <c r="O677" s="529">
        <f t="shared" si="88"/>
        <v>0</v>
      </c>
      <c r="P677" s="530">
        <f t="shared" si="90"/>
        <v>0</v>
      </c>
    </row>
    <row r="678" spans="1:16">
      <c r="A678" s="529">
        <f>+'6.Other Exp. Categories'!A79</f>
        <v>77</v>
      </c>
      <c r="B678" s="529">
        <f>+'6.Other Exp. Categories'!F79</f>
        <v>0</v>
      </c>
      <c r="D678" s="529">
        <f>+'6.Other Exp. Categories'!E79</f>
        <v>0</v>
      </c>
      <c r="E678" s="531">
        <f>+'6.Other Exp. Categories'!B79</f>
        <v>0</v>
      </c>
      <c r="F678" s="529">
        <f>+'6.Other Exp. Categories'!C79</f>
        <v>0</v>
      </c>
      <c r="G678" s="526">
        <f t="shared" si="89"/>
        <v>0</v>
      </c>
      <c r="H678" s="525">
        <f>IFERROR(VLOOKUP($B678,'3.Tasks'!$BK$4:$BO$23,2,FALSE),0)</f>
        <v>0</v>
      </c>
      <c r="I678" s="529">
        <f t="shared" si="85"/>
        <v>0</v>
      </c>
      <c r="J678" s="529">
        <f>IFERROR(VLOOKUP($B678,'3.Tasks'!$BK$4:$BO$23,3,FALSE),0)</f>
        <v>0</v>
      </c>
      <c r="K678" s="529">
        <f t="shared" si="86"/>
        <v>0</v>
      </c>
      <c r="L678" s="529">
        <f>IFERROR(VLOOKUP($B678,'3.Tasks'!$BK$4:$BO$23,4,FALSE),0)</f>
        <v>0</v>
      </c>
      <c r="M678" s="529">
        <f t="shared" si="87"/>
        <v>0</v>
      </c>
      <c r="N678" s="529">
        <f>IFERROR(VLOOKUP($B678,'3.Tasks'!$BK$4:$BO$23,5,FALSE),0)</f>
        <v>0</v>
      </c>
      <c r="O678" s="529">
        <f t="shared" si="88"/>
        <v>0</v>
      </c>
      <c r="P678" s="530">
        <f t="shared" si="90"/>
        <v>0</v>
      </c>
    </row>
    <row r="679" spans="1:16">
      <c r="A679" s="529">
        <f>+'6.Other Exp. Categories'!A80</f>
        <v>78</v>
      </c>
      <c r="B679" s="529">
        <f>+'6.Other Exp. Categories'!F80</f>
        <v>0</v>
      </c>
      <c r="D679" s="529">
        <f>+'6.Other Exp. Categories'!E80</f>
        <v>0</v>
      </c>
      <c r="E679" s="531">
        <f>+'6.Other Exp. Categories'!B80</f>
        <v>0</v>
      </c>
      <c r="F679" s="529">
        <f>+'6.Other Exp. Categories'!C80</f>
        <v>0</v>
      </c>
      <c r="G679" s="526">
        <f t="shared" si="89"/>
        <v>0</v>
      </c>
      <c r="H679" s="525">
        <f>IFERROR(VLOOKUP($B679,'3.Tasks'!$BK$4:$BO$23,2,FALSE),0)</f>
        <v>0</v>
      </c>
      <c r="I679" s="529">
        <f t="shared" si="85"/>
        <v>0</v>
      </c>
      <c r="J679" s="529">
        <f>IFERROR(VLOOKUP($B679,'3.Tasks'!$BK$4:$BO$23,3,FALSE),0)</f>
        <v>0</v>
      </c>
      <c r="K679" s="529">
        <f t="shared" si="86"/>
        <v>0</v>
      </c>
      <c r="L679" s="529">
        <f>IFERROR(VLOOKUP($B679,'3.Tasks'!$BK$4:$BO$23,4,FALSE),0)</f>
        <v>0</v>
      </c>
      <c r="M679" s="529">
        <f t="shared" si="87"/>
        <v>0</v>
      </c>
      <c r="N679" s="529">
        <f>IFERROR(VLOOKUP($B679,'3.Tasks'!$BK$4:$BO$23,5,FALSE),0)</f>
        <v>0</v>
      </c>
      <c r="O679" s="529">
        <f t="shared" si="88"/>
        <v>0</v>
      </c>
      <c r="P679" s="530">
        <f t="shared" si="90"/>
        <v>0</v>
      </c>
    </row>
    <row r="680" spans="1:16">
      <c r="A680" s="529">
        <f>+'6.Other Exp. Categories'!A81</f>
        <v>79</v>
      </c>
      <c r="B680" s="529">
        <f>+'6.Other Exp. Categories'!F81</f>
        <v>0</v>
      </c>
      <c r="D680" s="529">
        <f>+'6.Other Exp. Categories'!E81</f>
        <v>0</v>
      </c>
      <c r="E680" s="531">
        <f>+'6.Other Exp. Categories'!B81</f>
        <v>0</v>
      </c>
      <c r="F680" s="529">
        <f>+'6.Other Exp. Categories'!C81</f>
        <v>0</v>
      </c>
      <c r="G680" s="526">
        <f t="shared" si="89"/>
        <v>0</v>
      </c>
      <c r="H680" s="525">
        <f>IFERROR(VLOOKUP($B680,'3.Tasks'!$BK$4:$BO$23,2,FALSE),0)</f>
        <v>0</v>
      </c>
      <c r="I680" s="529">
        <f t="shared" si="85"/>
        <v>0</v>
      </c>
      <c r="J680" s="529">
        <f>IFERROR(VLOOKUP($B680,'3.Tasks'!$BK$4:$BO$23,3,FALSE),0)</f>
        <v>0</v>
      </c>
      <c r="K680" s="529">
        <f t="shared" si="86"/>
        <v>0</v>
      </c>
      <c r="L680" s="529">
        <f>IFERROR(VLOOKUP($B680,'3.Tasks'!$BK$4:$BO$23,4,FALSE),0)</f>
        <v>0</v>
      </c>
      <c r="M680" s="529">
        <f t="shared" si="87"/>
        <v>0</v>
      </c>
      <c r="N680" s="529">
        <f>IFERROR(VLOOKUP($B680,'3.Tasks'!$BK$4:$BO$23,5,FALSE),0)</f>
        <v>0</v>
      </c>
      <c r="O680" s="529">
        <f t="shared" si="88"/>
        <v>0</v>
      </c>
      <c r="P680" s="530">
        <f t="shared" si="90"/>
        <v>0</v>
      </c>
    </row>
    <row r="681" spans="1:16">
      <c r="A681" s="529">
        <f>+'6.Other Exp. Categories'!A82</f>
        <v>80</v>
      </c>
      <c r="B681" s="529">
        <f>+'6.Other Exp. Categories'!F82</f>
        <v>0</v>
      </c>
      <c r="D681" s="529">
        <f>+'6.Other Exp. Categories'!E82</f>
        <v>0</v>
      </c>
      <c r="E681" s="531">
        <f>+'6.Other Exp. Categories'!B82</f>
        <v>0</v>
      </c>
      <c r="F681" s="529">
        <f>+'6.Other Exp. Categories'!C82</f>
        <v>0</v>
      </c>
      <c r="G681" s="526">
        <f t="shared" si="89"/>
        <v>0</v>
      </c>
      <c r="H681" s="525">
        <f>IFERROR(VLOOKUP($B681,'3.Tasks'!$BK$4:$BO$23,2,FALSE),0)</f>
        <v>0</v>
      </c>
      <c r="I681" s="529">
        <f t="shared" si="85"/>
        <v>0</v>
      </c>
      <c r="J681" s="529">
        <f>IFERROR(VLOOKUP($B681,'3.Tasks'!$BK$4:$BO$23,3,FALSE),0)</f>
        <v>0</v>
      </c>
      <c r="K681" s="529">
        <f t="shared" si="86"/>
        <v>0</v>
      </c>
      <c r="L681" s="529">
        <f>IFERROR(VLOOKUP($B681,'3.Tasks'!$BK$4:$BO$23,4,FALSE),0)</f>
        <v>0</v>
      </c>
      <c r="M681" s="529">
        <f t="shared" si="87"/>
        <v>0</v>
      </c>
      <c r="N681" s="529">
        <f>IFERROR(VLOOKUP($B681,'3.Tasks'!$BK$4:$BO$23,5,FALSE),0)</f>
        <v>0</v>
      </c>
      <c r="O681" s="529">
        <f t="shared" si="88"/>
        <v>0</v>
      </c>
      <c r="P681" s="530">
        <f t="shared" si="90"/>
        <v>0</v>
      </c>
    </row>
    <row r="682" spans="1:16">
      <c r="A682" s="529">
        <f>+'6.Other Exp. Categories'!A83</f>
        <v>81</v>
      </c>
      <c r="B682" s="529">
        <f>+'6.Other Exp. Categories'!F83</f>
        <v>0</v>
      </c>
      <c r="D682" s="529">
        <f>+'6.Other Exp. Categories'!E83</f>
        <v>0</v>
      </c>
      <c r="E682" s="531">
        <f>+'6.Other Exp. Categories'!B83</f>
        <v>0</v>
      </c>
      <c r="F682" s="529">
        <f>+'6.Other Exp. Categories'!C83</f>
        <v>0</v>
      </c>
      <c r="G682" s="526">
        <f t="shared" si="89"/>
        <v>0</v>
      </c>
      <c r="H682" s="525">
        <f>IFERROR(VLOOKUP($B682,'3.Tasks'!$BK$4:$BO$23,2,FALSE),0)</f>
        <v>0</v>
      </c>
      <c r="I682" s="529">
        <f t="shared" si="85"/>
        <v>0</v>
      </c>
      <c r="J682" s="529">
        <f>IFERROR(VLOOKUP($B682,'3.Tasks'!$BK$4:$BO$23,3,FALSE),0)</f>
        <v>0</v>
      </c>
      <c r="K682" s="529">
        <f t="shared" si="86"/>
        <v>0</v>
      </c>
      <c r="L682" s="529">
        <f>IFERROR(VLOOKUP($B682,'3.Tasks'!$BK$4:$BO$23,4,FALSE),0)</f>
        <v>0</v>
      </c>
      <c r="M682" s="529">
        <f t="shared" si="87"/>
        <v>0</v>
      </c>
      <c r="N682" s="529">
        <f>IFERROR(VLOOKUP($B682,'3.Tasks'!$BK$4:$BO$23,5,FALSE),0)</f>
        <v>0</v>
      </c>
      <c r="O682" s="529">
        <f t="shared" si="88"/>
        <v>0</v>
      </c>
      <c r="P682" s="530">
        <f t="shared" si="90"/>
        <v>0</v>
      </c>
    </row>
    <row r="683" spans="1:16">
      <c r="A683" s="529">
        <f>+'6.Other Exp. Categories'!A84</f>
        <v>82</v>
      </c>
      <c r="B683" s="529">
        <f>+'6.Other Exp. Categories'!F84</f>
        <v>0</v>
      </c>
      <c r="D683" s="529">
        <f>+'6.Other Exp. Categories'!E84</f>
        <v>0</v>
      </c>
      <c r="E683" s="531">
        <f>+'6.Other Exp. Categories'!B84</f>
        <v>0</v>
      </c>
      <c r="F683" s="529">
        <f>+'6.Other Exp. Categories'!C84</f>
        <v>0</v>
      </c>
      <c r="G683" s="526">
        <f t="shared" si="89"/>
        <v>0</v>
      </c>
      <c r="H683" s="525">
        <f>IFERROR(VLOOKUP($B683,'3.Tasks'!$BK$4:$BO$23,2,FALSE),0)</f>
        <v>0</v>
      </c>
      <c r="I683" s="529">
        <f t="shared" si="85"/>
        <v>0</v>
      </c>
      <c r="J683" s="529">
        <f>IFERROR(VLOOKUP($B683,'3.Tasks'!$BK$4:$BO$23,3,FALSE),0)</f>
        <v>0</v>
      </c>
      <c r="K683" s="529">
        <f t="shared" si="86"/>
        <v>0</v>
      </c>
      <c r="L683" s="529">
        <f>IFERROR(VLOOKUP($B683,'3.Tasks'!$BK$4:$BO$23,4,FALSE),0)</f>
        <v>0</v>
      </c>
      <c r="M683" s="529">
        <f t="shared" si="87"/>
        <v>0</v>
      </c>
      <c r="N683" s="529">
        <f>IFERROR(VLOOKUP($B683,'3.Tasks'!$BK$4:$BO$23,5,FALSE),0)</f>
        <v>0</v>
      </c>
      <c r="O683" s="529">
        <f t="shared" si="88"/>
        <v>0</v>
      </c>
      <c r="P683" s="530">
        <f t="shared" si="90"/>
        <v>0</v>
      </c>
    </row>
    <row r="684" spans="1:16">
      <c r="A684" s="529">
        <f>+'6.Other Exp. Categories'!A85</f>
        <v>83</v>
      </c>
      <c r="B684" s="529">
        <f>+'6.Other Exp. Categories'!F85</f>
        <v>0</v>
      </c>
      <c r="D684" s="529">
        <f>+'6.Other Exp. Categories'!E85</f>
        <v>0</v>
      </c>
      <c r="E684" s="531">
        <f>+'6.Other Exp. Categories'!B85</f>
        <v>0</v>
      </c>
      <c r="F684" s="529">
        <f>+'6.Other Exp. Categories'!C85</f>
        <v>0</v>
      </c>
      <c r="G684" s="526">
        <f t="shared" si="89"/>
        <v>0</v>
      </c>
      <c r="H684" s="525">
        <f>IFERROR(VLOOKUP($B684,'3.Tasks'!$BK$4:$BO$23,2,FALSE),0)</f>
        <v>0</v>
      </c>
      <c r="I684" s="529">
        <f t="shared" si="85"/>
        <v>0</v>
      </c>
      <c r="J684" s="529">
        <f>IFERROR(VLOOKUP($B684,'3.Tasks'!$BK$4:$BO$23,3,FALSE),0)</f>
        <v>0</v>
      </c>
      <c r="K684" s="529">
        <f t="shared" si="86"/>
        <v>0</v>
      </c>
      <c r="L684" s="529">
        <f>IFERROR(VLOOKUP($B684,'3.Tasks'!$BK$4:$BO$23,4,FALSE),0)</f>
        <v>0</v>
      </c>
      <c r="M684" s="529">
        <f t="shared" si="87"/>
        <v>0</v>
      </c>
      <c r="N684" s="529">
        <f>IFERROR(VLOOKUP($B684,'3.Tasks'!$BK$4:$BO$23,5,FALSE),0)</f>
        <v>0</v>
      </c>
      <c r="O684" s="529">
        <f t="shared" si="88"/>
        <v>0</v>
      </c>
      <c r="P684" s="530">
        <f t="shared" si="90"/>
        <v>0</v>
      </c>
    </row>
    <row r="685" spans="1:16">
      <c r="A685" s="529">
        <f>+'6.Other Exp. Categories'!A86</f>
        <v>84</v>
      </c>
      <c r="B685" s="529">
        <f>+'6.Other Exp. Categories'!F86</f>
        <v>0</v>
      </c>
      <c r="D685" s="529">
        <f>+'6.Other Exp. Categories'!E86</f>
        <v>0</v>
      </c>
      <c r="E685" s="531">
        <f>+'6.Other Exp. Categories'!B86</f>
        <v>0</v>
      </c>
      <c r="F685" s="529">
        <f>+'6.Other Exp. Categories'!C86</f>
        <v>0</v>
      </c>
      <c r="G685" s="526">
        <f t="shared" si="89"/>
        <v>0</v>
      </c>
      <c r="H685" s="525">
        <f>IFERROR(VLOOKUP($B685,'3.Tasks'!$BK$4:$BO$23,2,FALSE),0)</f>
        <v>0</v>
      </c>
      <c r="I685" s="529">
        <f t="shared" si="85"/>
        <v>0</v>
      </c>
      <c r="J685" s="529">
        <f>IFERROR(VLOOKUP($B685,'3.Tasks'!$BK$4:$BO$23,3,FALSE),0)</f>
        <v>0</v>
      </c>
      <c r="K685" s="529">
        <f t="shared" si="86"/>
        <v>0</v>
      </c>
      <c r="L685" s="529">
        <f>IFERROR(VLOOKUP($B685,'3.Tasks'!$BK$4:$BO$23,4,FALSE),0)</f>
        <v>0</v>
      </c>
      <c r="M685" s="529">
        <f t="shared" si="87"/>
        <v>0</v>
      </c>
      <c r="N685" s="529">
        <f>IFERROR(VLOOKUP($B685,'3.Tasks'!$BK$4:$BO$23,5,FALSE),0)</f>
        <v>0</v>
      </c>
      <c r="O685" s="529">
        <f t="shared" si="88"/>
        <v>0</v>
      </c>
      <c r="P685" s="530">
        <f t="shared" si="90"/>
        <v>0</v>
      </c>
    </row>
    <row r="686" spans="1:16">
      <c r="A686" s="529">
        <f>+'6.Other Exp. Categories'!A87</f>
        <v>85</v>
      </c>
      <c r="B686" s="529">
        <f>+'6.Other Exp. Categories'!F87</f>
        <v>0</v>
      </c>
      <c r="D686" s="529">
        <f>+'6.Other Exp. Categories'!E87</f>
        <v>0</v>
      </c>
      <c r="E686" s="531">
        <f>+'6.Other Exp. Categories'!B87</f>
        <v>0</v>
      </c>
      <c r="F686" s="529">
        <f>+'6.Other Exp. Categories'!C87</f>
        <v>0</v>
      </c>
      <c r="G686" s="526">
        <f t="shared" si="89"/>
        <v>0</v>
      </c>
      <c r="H686" s="525">
        <f>IFERROR(VLOOKUP($B686,'3.Tasks'!$BK$4:$BO$23,2,FALSE),0)</f>
        <v>0</v>
      </c>
      <c r="I686" s="529">
        <f t="shared" si="85"/>
        <v>0</v>
      </c>
      <c r="J686" s="529">
        <f>IFERROR(VLOOKUP($B686,'3.Tasks'!$BK$4:$BO$23,3,FALSE),0)</f>
        <v>0</v>
      </c>
      <c r="K686" s="529">
        <f t="shared" si="86"/>
        <v>0</v>
      </c>
      <c r="L686" s="529">
        <f>IFERROR(VLOOKUP($B686,'3.Tasks'!$BK$4:$BO$23,4,FALSE),0)</f>
        <v>0</v>
      </c>
      <c r="M686" s="529">
        <f t="shared" si="87"/>
        <v>0</v>
      </c>
      <c r="N686" s="529">
        <f>IFERROR(VLOOKUP($B686,'3.Tasks'!$BK$4:$BO$23,5,FALSE),0)</f>
        <v>0</v>
      </c>
      <c r="O686" s="529">
        <f t="shared" si="88"/>
        <v>0</v>
      </c>
      <c r="P686" s="530">
        <f t="shared" si="90"/>
        <v>0</v>
      </c>
    </row>
    <row r="687" spans="1:16">
      <c r="A687" s="529">
        <f>+'6.Other Exp. Categories'!A88</f>
        <v>86</v>
      </c>
      <c r="B687" s="529">
        <f>+'6.Other Exp. Categories'!F88</f>
        <v>0</v>
      </c>
      <c r="D687" s="529">
        <f>+'6.Other Exp. Categories'!E88</f>
        <v>0</v>
      </c>
      <c r="E687" s="531">
        <f>+'6.Other Exp. Categories'!B88</f>
        <v>0</v>
      </c>
      <c r="F687" s="529">
        <f>+'6.Other Exp. Categories'!C88</f>
        <v>0</v>
      </c>
      <c r="G687" s="526">
        <f t="shared" si="89"/>
        <v>0</v>
      </c>
      <c r="H687" s="525">
        <f>IFERROR(VLOOKUP($B687,'3.Tasks'!$BK$4:$BO$23,2,FALSE),0)</f>
        <v>0</v>
      </c>
      <c r="I687" s="529">
        <f t="shared" si="85"/>
        <v>0</v>
      </c>
      <c r="J687" s="529">
        <f>IFERROR(VLOOKUP($B687,'3.Tasks'!$BK$4:$BO$23,3,FALSE),0)</f>
        <v>0</v>
      </c>
      <c r="K687" s="529">
        <f t="shared" si="86"/>
        <v>0</v>
      </c>
      <c r="L687" s="529">
        <f>IFERROR(VLOOKUP($B687,'3.Tasks'!$BK$4:$BO$23,4,FALSE),0)</f>
        <v>0</v>
      </c>
      <c r="M687" s="529">
        <f t="shared" si="87"/>
        <v>0</v>
      </c>
      <c r="N687" s="529">
        <f>IFERROR(VLOOKUP($B687,'3.Tasks'!$BK$4:$BO$23,5,FALSE),0)</f>
        <v>0</v>
      </c>
      <c r="O687" s="529">
        <f t="shared" si="88"/>
        <v>0</v>
      </c>
      <c r="P687" s="530">
        <f t="shared" si="90"/>
        <v>0</v>
      </c>
    </row>
    <row r="688" spans="1:16">
      <c r="A688" s="529">
        <f>+'6.Other Exp. Categories'!A89</f>
        <v>87</v>
      </c>
      <c r="B688" s="529">
        <f>+'6.Other Exp. Categories'!F89</f>
        <v>0</v>
      </c>
      <c r="D688" s="529">
        <f>+'6.Other Exp. Categories'!E89</f>
        <v>0</v>
      </c>
      <c r="E688" s="531">
        <f>+'6.Other Exp. Categories'!B89</f>
        <v>0</v>
      </c>
      <c r="F688" s="529">
        <f>+'6.Other Exp. Categories'!C89</f>
        <v>0</v>
      </c>
      <c r="G688" s="526">
        <f t="shared" si="89"/>
        <v>0</v>
      </c>
      <c r="H688" s="525">
        <f>IFERROR(VLOOKUP($B688,'3.Tasks'!$BK$4:$BO$23,2,FALSE),0)</f>
        <v>0</v>
      </c>
      <c r="I688" s="529">
        <f t="shared" si="85"/>
        <v>0</v>
      </c>
      <c r="J688" s="529">
        <f>IFERROR(VLOOKUP($B688,'3.Tasks'!$BK$4:$BO$23,3,FALSE),0)</f>
        <v>0</v>
      </c>
      <c r="K688" s="529">
        <f t="shared" si="86"/>
        <v>0</v>
      </c>
      <c r="L688" s="529">
        <f>IFERROR(VLOOKUP($B688,'3.Tasks'!$BK$4:$BO$23,4,FALSE),0)</f>
        <v>0</v>
      </c>
      <c r="M688" s="529">
        <f t="shared" si="87"/>
        <v>0</v>
      </c>
      <c r="N688" s="529">
        <f>IFERROR(VLOOKUP($B688,'3.Tasks'!$BK$4:$BO$23,5,FALSE),0)</f>
        <v>0</v>
      </c>
      <c r="O688" s="529">
        <f t="shared" si="88"/>
        <v>0</v>
      </c>
      <c r="P688" s="530">
        <f t="shared" si="90"/>
        <v>0</v>
      </c>
    </row>
    <row r="689" spans="1:16">
      <c r="A689" s="529">
        <f>+'6.Other Exp. Categories'!A90</f>
        <v>88</v>
      </c>
      <c r="B689" s="529">
        <f>+'6.Other Exp. Categories'!F90</f>
        <v>0</v>
      </c>
      <c r="D689" s="529">
        <f>+'6.Other Exp. Categories'!E90</f>
        <v>0</v>
      </c>
      <c r="E689" s="531">
        <f>+'6.Other Exp. Categories'!B90</f>
        <v>0</v>
      </c>
      <c r="F689" s="529">
        <f>+'6.Other Exp. Categories'!C90</f>
        <v>0</v>
      </c>
      <c r="G689" s="526">
        <f t="shared" si="89"/>
        <v>0</v>
      </c>
      <c r="H689" s="525">
        <f>IFERROR(VLOOKUP($B689,'3.Tasks'!$BK$4:$BO$23,2,FALSE),0)</f>
        <v>0</v>
      </c>
      <c r="I689" s="529">
        <f t="shared" si="85"/>
        <v>0</v>
      </c>
      <c r="J689" s="529">
        <f>IFERROR(VLOOKUP($B689,'3.Tasks'!$BK$4:$BO$23,3,FALSE),0)</f>
        <v>0</v>
      </c>
      <c r="K689" s="529">
        <f t="shared" si="86"/>
        <v>0</v>
      </c>
      <c r="L689" s="529">
        <f>IFERROR(VLOOKUP($B689,'3.Tasks'!$BK$4:$BO$23,4,FALSE),0)</f>
        <v>0</v>
      </c>
      <c r="M689" s="529">
        <f t="shared" si="87"/>
        <v>0</v>
      </c>
      <c r="N689" s="529">
        <f>IFERROR(VLOOKUP($B689,'3.Tasks'!$BK$4:$BO$23,5,FALSE),0)</f>
        <v>0</v>
      </c>
      <c r="O689" s="529">
        <f t="shared" si="88"/>
        <v>0</v>
      </c>
      <c r="P689" s="530">
        <f t="shared" si="90"/>
        <v>0</v>
      </c>
    </row>
    <row r="690" spans="1:16">
      <c r="A690" s="529">
        <f>+'6.Other Exp. Categories'!A91</f>
        <v>89</v>
      </c>
      <c r="B690" s="529">
        <f>+'6.Other Exp. Categories'!F91</f>
        <v>0</v>
      </c>
      <c r="D690" s="529">
        <f>+'6.Other Exp. Categories'!E91</f>
        <v>0</v>
      </c>
      <c r="E690" s="531">
        <f>+'6.Other Exp. Categories'!B91</f>
        <v>0</v>
      </c>
      <c r="F690" s="529">
        <f>+'6.Other Exp. Categories'!C91</f>
        <v>0</v>
      </c>
      <c r="G690" s="526">
        <f t="shared" si="89"/>
        <v>0</v>
      </c>
      <c r="H690" s="525">
        <f>IFERROR(VLOOKUP($B690,'3.Tasks'!$BK$4:$BO$23,2,FALSE),0)</f>
        <v>0</v>
      </c>
      <c r="I690" s="529">
        <f t="shared" si="85"/>
        <v>0</v>
      </c>
      <c r="J690" s="529">
        <f>IFERROR(VLOOKUP($B690,'3.Tasks'!$BK$4:$BO$23,3,FALSE),0)</f>
        <v>0</v>
      </c>
      <c r="K690" s="529">
        <f t="shared" si="86"/>
        <v>0</v>
      </c>
      <c r="L690" s="529">
        <f>IFERROR(VLOOKUP($B690,'3.Tasks'!$BK$4:$BO$23,4,FALSE),0)</f>
        <v>0</v>
      </c>
      <c r="M690" s="529">
        <f t="shared" si="87"/>
        <v>0</v>
      </c>
      <c r="N690" s="529">
        <f>IFERROR(VLOOKUP($B690,'3.Tasks'!$BK$4:$BO$23,5,FALSE),0)</f>
        <v>0</v>
      </c>
      <c r="O690" s="529">
        <f t="shared" si="88"/>
        <v>0</v>
      </c>
      <c r="P690" s="530">
        <f t="shared" si="90"/>
        <v>0</v>
      </c>
    </row>
    <row r="691" spans="1:16">
      <c r="A691" s="529">
        <f>+'6.Other Exp. Categories'!A92</f>
        <v>90</v>
      </c>
      <c r="B691" s="529">
        <f>+'6.Other Exp. Categories'!F92</f>
        <v>0</v>
      </c>
      <c r="D691" s="529">
        <f>+'6.Other Exp. Categories'!E92</f>
        <v>0</v>
      </c>
      <c r="E691" s="531">
        <f>+'6.Other Exp. Categories'!B92</f>
        <v>0</v>
      </c>
      <c r="F691" s="529">
        <f>+'6.Other Exp. Categories'!C92</f>
        <v>0</v>
      </c>
      <c r="G691" s="526">
        <f t="shared" si="89"/>
        <v>0</v>
      </c>
      <c r="H691" s="525">
        <f>IFERROR(VLOOKUP($B691,'3.Tasks'!$BK$4:$BO$23,2,FALSE),0)</f>
        <v>0</v>
      </c>
      <c r="I691" s="529">
        <f t="shared" si="85"/>
        <v>0</v>
      </c>
      <c r="J691" s="529">
        <f>IFERROR(VLOOKUP($B691,'3.Tasks'!$BK$4:$BO$23,3,FALSE),0)</f>
        <v>0</v>
      </c>
      <c r="K691" s="529">
        <f t="shared" si="86"/>
        <v>0</v>
      </c>
      <c r="L691" s="529">
        <f>IFERROR(VLOOKUP($B691,'3.Tasks'!$BK$4:$BO$23,4,FALSE),0)</f>
        <v>0</v>
      </c>
      <c r="M691" s="529">
        <f t="shared" si="87"/>
        <v>0</v>
      </c>
      <c r="N691" s="529">
        <f>IFERROR(VLOOKUP($B691,'3.Tasks'!$BK$4:$BO$23,5,FALSE),0)</f>
        <v>0</v>
      </c>
      <c r="O691" s="529">
        <f t="shared" si="88"/>
        <v>0</v>
      </c>
      <c r="P691" s="530">
        <f t="shared" si="90"/>
        <v>0</v>
      </c>
    </row>
    <row r="692" spans="1:16">
      <c r="A692" s="529">
        <f>+'6.Other Exp. Categories'!A93</f>
        <v>91</v>
      </c>
      <c r="B692" s="529">
        <f>+'6.Other Exp. Categories'!F93</f>
        <v>0</v>
      </c>
      <c r="D692" s="529">
        <f>+'6.Other Exp. Categories'!E93</f>
        <v>0</v>
      </c>
      <c r="E692" s="531">
        <f>+'6.Other Exp. Categories'!B93</f>
        <v>0</v>
      </c>
      <c r="F692" s="529">
        <f>+'6.Other Exp. Categories'!C93</f>
        <v>0</v>
      </c>
      <c r="G692" s="526">
        <f t="shared" si="89"/>
        <v>0</v>
      </c>
      <c r="H692" s="525">
        <f>IFERROR(VLOOKUP($B692,'3.Tasks'!$BK$4:$BO$23,2,FALSE),0)</f>
        <v>0</v>
      </c>
      <c r="I692" s="529">
        <f t="shared" si="85"/>
        <v>0</v>
      </c>
      <c r="J692" s="529">
        <f>IFERROR(VLOOKUP($B692,'3.Tasks'!$BK$4:$BO$23,3,FALSE),0)</f>
        <v>0</v>
      </c>
      <c r="K692" s="529">
        <f t="shared" si="86"/>
        <v>0</v>
      </c>
      <c r="L692" s="529">
        <f>IFERROR(VLOOKUP($B692,'3.Tasks'!$BK$4:$BO$23,4,FALSE),0)</f>
        <v>0</v>
      </c>
      <c r="M692" s="529">
        <f t="shared" si="87"/>
        <v>0</v>
      </c>
      <c r="N692" s="529">
        <f>IFERROR(VLOOKUP($B692,'3.Tasks'!$BK$4:$BO$23,5,FALSE),0)</f>
        <v>0</v>
      </c>
      <c r="O692" s="529">
        <f t="shared" si="88"/>
        <v>0</v>
      </c>
      <c r="P692" s="530">
        <f t="shared" si="90"/>
        <v>0</v>
      </c>
    </row>
    <row r="693" spans="1:16">
      <c r="A693" s="529">
        <f>+'6.Other Exp. Categories'!A94</f>
        <v>92</v>
      </c>
      <c r="B693" s="529">
        <f>+'6.Other Exp. Categories'!F94</f>
        <v>0</v>
      </c>
      <c r="D693" s="529">
        <f>+'6.Other Exp. Categories'!E94</f>
        <v>0</v>
      </c>
      <c r="E693" s="531">
        <f>+'6.Other Exp. Categories'!B94</f>
        <v>0</v>
      </c>
      <c r="F693" s="529">
        <f>+'6.Other Exp. Categories'!C94</f>
        <v>0</v>
      </c>
      <c r="G693" s="526">
        <f t="shared" si="89"/>
        <v>0</v>
      </c>
      <c r="H693" s="525">
        <f>IFERROR(VLOOKUP($B693,'3.Tasks'!$BK$4:$BO$23,2,FALSE),0)</f>
        <v>0</v>
      </c>
      <c r="I693" s="529">
        <f t="shared" si="85"/>
        <v>0</v>
      </c>
      <c r="J693" s="529">
        <f>IFERROR(VLOOKUP($B693,'3.Tasks'!$BK$4:$BO$23,3,FALSE),0)</f>
        <v>0</v>
      </c>
      <c r="K693" s="529">
        <f t="shared" si="86"/>
        <v>0</v>
      </c>
      <c r="L693" s="529">
        <f>IFERROR(VLOOKUP($B693,'3.Tasks'!$BK$4:$BO$23,4,FALSE),0)</f>
        <v>0</v>
      </c>
      <c r="M693" s="529">
        <f t="shared" si="87"/>
        <v>0</v>
      </c>
      <c r="N693" s="529">
        <f>IFERROR(VLOOKUP($B693,'3.Tasks'!$BK$4:$BO$23,5,FALSE),0)</f>
        <v>0</v>
      </c>
      <c r="O693" s="529">
        <f t="shared" si="88"/>
        <v>0</v>
      </c>
      <c r="P693" s="530">
        <f t="shared" si="90"/>
        <v>0</v>
      </c>
    </row>
    <row r="694" spans="1:16">
      <c r="A694" s="529">
        <f>+'6.Other Exp. Categories'!A95</f>
        <v>93</v>
      </c>
      <c r="B694" s="529">
        <f>+'6.Other Exp. Categories'!F95</f>
        <v>0</v>
      </c>
      <c r="D694" s="529">
        <f>+'6.Other Exp. Categories'!E95</f>
        <v>0</v>
      </c>
      <c r="E694" s="531">
        <f>+'6.Other Exp. Categories'!B95</f>
        <v>0</v>
      </c>
      <c r="F694" s="529">
        <f>+'6.Other Exp. Categories'!C95</f>
        <v>0</v>
      </c>
      <c r="G694" s="526">
        <f t="shared" si="89"/>
        <v>0</v>
      </c>
      <c r="H694" s="525">
        <f>IFERROR(VLOOKUP($B694,'3.Tasks'!$BK$4:$BO$23,2,FALSE),0)</f>
        <v>0</v>
      </c>
      <c r="I694" s="529">
        <f t="shared" si="85"/>
        <v>0</v>
      </c>
      <c r="J694" s="529">
        <f>IFERROR(VLOOKUP($B694,'3.Tasks'!$BK$4:$BO$23,3,FALSE),0)</f>
        <v>0</v>
      </c>
      <c r="K694" s="529">
        <f t="shared" si="86"/>
        <v>0</v>
      </c>
      <c r="L694" s="529">
        <f>IFERROR(VLOOKUP($B694,'3.Tasks'!$BK$4:$BO$23,4,FALSE),0)</f>
        <v>0</v>
      </c>
      <c r="M694" s="529">
        <f t="shared" si="87"/>
        <v>0</v>
      </c>
      <c r="N694" s="529">
        <f>IFERROR(VLOOKUP($B694,'3.Tasks'!$BK$4:$BO$23,5,FALSE),0)</f>
        <v>0</v>
      </c>
      <c r="O694" s="529">
        <f t="shared" si="88"/>
        <v>0</v>
      </c>
      <c r="P694" s="530">
        <f t="shared" si="90"/>
        <v>0</v>
      </c>
    </row>
    <row r="695" spans="1:16">
      <c r="A695" s="529">
        <f>+'6.Other Exp. Categories'!A96</f>
        <v>94</v>
      </c>
      <c r="B695" s="529">
        <f>+'6.Other Exp. Categories'!F96</f>
        <v>0</v>
      </c>
      <c r="D695" s="529">
        <f>+'6.Other Exp. Categories'!E96</f>
        <v>0</v>
      </c>
      <c r="E695" s="531">
        <f>+'6.Other Exp. Categories'!B96</f>
        <v>0</v>
      </c>
      <c r="F695" s="529">
        <f>+'6.Other Exp. Categories'!C96</f>
        <v>0</v>
      </c>
      <c r="G695" s="526">
        <f t="shared" si="89"/>
        <v>0</v>
      </c>
      <c r="H695" s="525">
        <f>IFERROR(VLOOKUP($B695,'3.Tasks'!$BK$4:$BO$23,2,FALSE),0)</f>
        <v>0</v>
      </c>
      <c r="I695" s="529">
        <f t="shared" si="85"/>
        <v>0</v>
      </c>
      <c r="J695" s="529">
        <f>IFERROR(VLOOKUP($B695,'3.Tasks'!$BK$4:$BO$23,3,FALSE),0)</f>
        <v>0</v>
      </c>
      <c r="K695" s="529">
        <f t="shared" si="86"/>
        <v>0</v>
      </c>
      <c r="L695" s="529">
        <f>IFERROR(VLOOKUP($B695,'3.Tasks'!$BK$4:$BO$23,4,FALSE),0)</f>
        <v>0</v>
      </c>
      <c r="M695" s="529">
        <f t="shared" si="87"/>
        <v>0</v>
      </c>
      <c r="N695" s="529">
        <f>IFERROR(VLOOKUP($B695,'3.Tasks'!$BK$4:$BO$23,5,FALSE),0)</f>
        <v>0</v>
      </c>
      <c r="O695" s="529">
        <f t="shared" si="88"/>
        <v>0</v>
      </c>
      <c r="P695" s="530">
        <f t="shared" si="90"/>
        <v>0</v>
      </c>
    </row>
    <row r="696" spans="1:16">
      <c r="A696" s="529">
        <f>+'6.Other Exp. Categories'!A97</f>
        <v>95</v>
      </c>
      <c r="B696" s="529">
        <f>+'6.Other Exp. Categories'!F97</f>
        <v>0</v>
      </c>
      <c r="D696" s="529">
        <f>+'6.Other Exp. Categories'!E97</f>
        <v>0</v>
      </c>
      <c r="E696" s="531">
        <f>+'6.Other Exp. Categories'!B97</f>
        <v>0</v>
      </c>
      <c r="F696" s="529">
        <f>+'6.Other Exp. Categories'!C97</f>
        <v>0</v>
      </c>
      <c r="G696" s="526">
        <f t="shared" si="89"/>
        <v>0</v>
      </c>
      <c r="H696" s="525">
        <f>IFERROR(VLOOKUP($B696,'3.Tasks'!$BK$4:$BO$23,2,FALSE),0)</f>
        <v>0</v>
      </c>
      <c r="I696" s="529">
        <f t="shared" si="85"/>
        <v>0</v>
      </c>
      <c r="J696" s="529">
        <f>IFERROR(VLOOKUP($B696,'3.Tasks'!$BK$4:$BO$23,3,FALSE),0)</f>
        <v>0</v>
      </c>
      <c r="K696" s="529">
        <f t="shared" si="86"/>
        <v>0</v>
      </c>
      <c r="L696" s="529">
        <f>IFERROR(VLOOKUP($B696,'3.Tasks'!$BK$4:$BO$23,4,FALSE),0)</f>
        <v>0</v>
      </c>
      <c r="M696" s="529">
        <f t="shared" si="87"/>
        <v>0</v>
      </c>
      <c r="N696" s="529">
        <f>IFERROR(VLOOKUP($B696,'3.Tasks'!$BK$4:$BO$23,5,FALSE),0)</f>
        <v>0</v>
      </c>
      <c r="O696" s="529">
        <f t="shared" si="88"/>
        <v>0</v>
      </c>
      <c r="P696" s="530">
        <f t="shared" si="90"/>
        <v>0</v>
      </c>
    </row>
    <row r="697" spans="1:16">
      <c r="A697" s="529">
        <f>+'6.Other Exp. Categories'!A98</f>
        <v>96</v>
      </c>
      <c r="B697" s="529">
        <f>+'6.Other Exp. Categories'!F98</f>
        <v>0</v>
      </c>
      <c r="D697" s="529">
        <f>+'6.Other Exp. Categories'!E98</f>
        <v>0</v>
      </c>
      <c r="E697" s="531">
        <f>+'6.Other Exp. Categories'!B98</f>
        <v>0</v>
      </c>
      <c r="F697" s="529">
        <f>+'6.Other Exp. Categories'!C98</f>
        <v>0</v>
      </c>
      <c r="G697" s="526">
        <f t="shared" si="89"/>
        <v>0</v>
      </c>
      <c r="H697" s="525">
        <f>IFERROR(VLOOKUP($B697,'3.Tasks'!$BK$4:$BO$23,2,FALSE),0)</f>
        <v>0</v>
      </c>
      <c r="I697" s="529">
        <f t="shared" si="85"/>
        <v>0</v>
      </c>
      <c r="J697" s="529">
        <f>IFERROR(VLOOKUP($B697,'3.Tasks'!$BK$4:$BO$23,3,FALSE),0)</f>
        <v>0</v>
      </c>
      <c r="K697" s="529">
        <f t="shared" si="86"/>
        <v>0</v>
      </c>
      <c r="L697" s="529">
        <f>IFERROR(VLOOKUP($B697,'3.Tasks'!$BK$4:$BO$23,4,FALSE),0)</f>
        <v>0</v>
      </c>
      <c r="M697" s="529">
        <f t="shared" si="87"/>
        <v>0</v>
      </c>
      <c r="N697" s="529">
        <f>IFERROR(VLOOKUP($B697,'3.Tasks'!$BK$4:$BO$23,5,FALSE),0)</f>
        <v>0</v>
      </c>
      <c r="O697" s="529">
        <f t="shared" si="88"/>
        <v>0</v>
      </c>
      <c r="P697" s="530">
        <f t="shared" si="90"/>
        <v>0</v>
      </c>
    </row>
    <row r="698" spans="1:16">
      <c r="A698" s="529">
        <f>+'6.Other Exp. Categories'!A99</f>
        <v>97</v>
      </c>
      <c r="B698" s="529">
        <f>+'6.Other Exp. Categories'!F99</f>
        <v>0</v>
      </c>
      <c r="D698" s="529">
        <f>+'6.Other Exp. Categories'!E99</f>
        <v>0</v>
      </c>
      <c r="E698" s="531">
        <f>+'6.Other Exp. Categories'!B99</f>
        <v>0</v>
      </c>
      <c r="F698" s="529">
        <f>+'6.Other Exp. Categories'!C99</f>
        <v>0</v>
      </c>
      <c r="G698" s="526">
        <f t="shared" si="89"/>
        <v>0</v>
      </c>
      <c r="H698" s="525">
        <f>IFERROR(VLOOKUP($B698,'3.Tasks'!$BK$4:$BO$23,2,FALSE),0)</f>
        <v>0</v>
      </c>
      <c r="I698" s="529">
        <f t="shared" si="85"/>
        <v>0</v>
      </c>
      <c r="J698" s="529">
        <f>IFERROR(VLOOKUP($B698,'3.Tasks'!$BK$4:$BO$23,3,FALSE),0)</f>
        <v>0</v>
      </c>
      <c r="K698" s="529">
        <f t="shared" si="86"/>
        <v>0</v>
      </c>
      <c r="L698" s="529">
        <f>IFERROR(VLOOKUP($B698,'3.Tasks'!$BK$4:$BO$23,4,FALSE),0)</f>
        <v>0</v>
      </c>
      <c r="M698" s="529">
        <f t="shared" si="87"/>
        <v>0</v>
      </c>
      <c r="N698" s="529">
        <f>IFERROR(VLOOKUP($B698,'3.Tasks'!$BK$4:$BO$23,5,FALSE),0)</f>
        <v>0</v>
      </c>
      <c r="O698" s="529">
        <f t="shared" si="88"/>
        <v>0</v>
      </c>
      <c r="P698" s="530">
        <f t="shared" si="90"/>
        <v>0</v>
      </c>
    </row>
    <row r="699" spans="1:16">
      <c r="A699" s="529">
        <f>+'6.Other Exp. Categories'!A100</f>
        <v>98</v>
      </c>
      <c r="B699" s="529">
        <f>+'6.Other Exp. Categories'!F100</f>
        <v>0</v>
      </c>
      <c r="D699" s="529">
        <f>+'6.Other Exp. Categories'!E100</f>
        <v>0</v>
      </c>
      <c r="E699" s="531">
        <f>+'6.Other Exp. Categories'!B100</f>
        <v>0</v>
      </c>
      <c r="F699" s="529">
        <f>+'6.Other Exp. Categories'!C100</f>
        <v>0</v>
      </c>
      <c r="G699" s="526">
        <f t="shared" si="89"/>
        <v>0</v>
      </c>
      <c r="H699" s="525">
        <f>IFERROR(VLOOKUP($B699,'3.Tasks'!$BK$4:$BO$23,2,FALSE),0)</f>
        <v>0</v>
      </c>
      <c r="I699" s="529">
        <f t="shared" si="85"/>
        <v>0</v>
      </c>
      <c r="J699" s="529">
        <f>IFERROR(VLOOKUP($B699,'3.Tasks'!$BK$4:$BO$23,3,FALSE),0)</f>
        <v>0</v>
      </c>
      <c r="K699" s="529">
        <f t="shared" si="86"/>
        <v>0</v>
      </c>
      <c r="L699" s="529">
        <f>IFERROR(VLOOKUP($B699,'3.Tasks'!$BK$4:$BO$23,4,FALSE),0)</f>
        <v>0</v>
      </c>
      <c r="M699" s="529">
        <f t="shared" si="87"/>
        <v>0</v>
      </c>
      <c r="N699" s="529">
        <f>IFERROR(VLOOKUP($B699,'3.Tasks'!$BK$4:$BO$23,5,FALSE),0)</f>
        <v>0</v>
      </c>
      <c r="O699" s="529">
        <f t="shared" si="88"/>
        <v>0</v>
      </c>
      <c r="P699" s="530">
        <f t="shared" si="90"/>
        <v>0</v>
      </c>
    </row>
    <row r="700" spans="1:16">
      <c r="A700" s="529">
        <f>+'6.Other Exp. Categories'!A101</f>
        <v>99</v>
      </c>
      <c r="B700" s="529">
        <f>+'6.Other Exp. Categories'!F101</f>
        <v>0</v>
      </c>
      <c r="D700" s="529">
        <f>+'6.Other Exp. Categories'!E101</f>
        <v>0</v>
      </c>
      <c r="E700" s="531">
        <f>+'6.Other Exp. Categories'!B101</f>
        <v>0</v>
      </c>
      <c r="F700" s="529">
        <f>+'6.Other Exp. Categories'!C101</f>
        <v>0</v>
      </c>
      <c r="G700" s="526">
        <f t="shared" si="89"/>
        <v>0</v>
      </c>
      <c r="H700" s="525">
        <f>IFERROR(VLOOKUP($B700,'3.Tasks'!$BK$4:$BO$23,2,FALSE),0)</f>
        <v>0</v>
      </c>
      <c r="I700" s="529">
        <f t="shared" si="85"/>
        <v>0</v>
      </c>
      <c r="J700" s="529">
        <f>IFERROR(VLOOKUP($B700,'3.Tasks'!$BK$4:$BO$23,3,FALSE),0)</f>
        <v>0</v>
      </c>
      <c r="K700" s="529">
        <f t="shared" si="86"/>
        <v>0</v>
      </c>
      <c r="L700" s="529">
        <f>IFERROR(VLOOKUP($B700,'3.Tasks'!$BK$4:$BO$23,4,FALSE),0)</f>
        <v>0</v>
      </c>
      <c r="M700" s="529">
        <f t="shared" si="87"/>
        <v>0</v>
      </c>
      <c r="N700" s="529">
        <f>IFERROR(VLOOKUP($B700,'3.Tasks'!$BK$4:$BO$23,5,FALSE),0)</f>
        <v>0</v>
      </c>
      <c r="O700" s="529">
        <f t="shared" si="88"/>
        <v>0</v>
      </c>
      <c r="P700" s="530">
        <f t="shared" si="90"/>
        <v>0</v>
      </c>
    </row>
    <row r="701" spans="1:16">
      <c r="A701" s="529">
        <f>+'6.Other Exp. Categories'!A102</f>
        <v>100</v>
      </c>
      <c r="B701" s="529">
        <f>+'6.Other Exp. Categories'!F102</f>
        <v>0</v>
      </c>
      <c r="D701" s="529">
        <f>+'6.Other Exp. Categories'!E102</f>
        <v>0</v>
      </c>
      <c r="E701" s="531">
        <f>+'6.Other Exp. Categories'!B102</f>
        <v>0</v>
      </c>
      <c r="F701" s="529">
        <f>+'6.Other Exp. Categories'!C102</f>
        <v>0</v>
      </c>
      <c r="G701" s="526">
        <f t="shared" si="89"/>
        <v>0</v>
      </c>
      <c r="H701" s="525">
        <f>IFERROR(VLOOKUP($B701,'3.Tasks'!$BK$4:$BO$23,2,FALSE),0)</f>
        <v>0</v>
      </c>
      <c r="I701" s="529">
        <f t="shared" si="85"/>
        <v>0</v>
      </c>
      <c r="J701" s="529">
        <f>IFERROR(VLOOKUP($B701,'3.Tasks'!$BK$4:$BO$23,3,FALSE),0)</f>
        <v>0</v>
      </c>
      <c r="K701" s="529">
        <f t="shared" si="86"/>
        <v>0</v>
      </c>
      <c r="L701" s="529">
        <f>IFERROR(VLOOKUP($B701,'3.Tasks'!$BK$4:$BO$23,4,FALSE),0)</f>
        <v>0</v>
      </c>
      <c r="M701" s="529">
        <f t="shared" si="87"/>
        <v>0</v>
      </c>
      <c r="N701" s="529">
        <f>IFERROR(VLOOKUP($B701,'3.Tasks'!$BK$4:$BO$23,5,FALSE),0)</f>
        <v>0</v>
      </c>
      <c r="O701" s="529">
        <f t="shared" si="88"/>
        <v>0</v>
      </c>
      <c r="P701" s="530">
        <f t="shared" si="90"/>
        <v>0</v>
      </c>
    </row>
    <row r="702" spans="1:16">
      <c r="F702" s="559">
        <f>SUM(F2:F701)</f>
        <v>0</v>
      </c>
    </row>
    <row r="704" spans="1:16">
      <c r="A704" s="811" t="s">
        <v>991</v>
      </c>
      <c r="B704" s="811"/>
    </row>
    <row r="705" spans="1:2">
      <c r="A705" s="529" t="s">
        <v>694</v>
      </c>
      <c r="B705" s="529">
        <v>2</v>
      </c>
    </row>
    <row r="706" spans="1:2">
      <c r="A706" s="529" t="s">
        <v>695</v>
      </c>
      <c r="B706" s="529">
        <v>3</v>
      </c>
    </row>
    <row r="707" spans="1:2">
      <c r="A707" s="529" t="s">
        <v>696</v>
      </c>
      <c r="B707" s="529">
        <v>4</v>
      </c>
    </row>
    <row r="708" spans="1:2">
      <c r="A708" s="529" t="s">
        <v>697</v>
      </c>
      <c r="B708" s="529">
        <v>5</v>
      </c>
    </row>
    <row r="709" spans="1:2">
      <c r="A709" s="529" t="s">
        <v>698</v>
      </c>
      <c r="B709" s="529">
        <v>6</v>
      </c>
    </row>
    <row r="710" spans="1:2">
      <c r="A710" s="529" t="s">
        <v>699</v>
      </c>
      <c r="B710" s="529">
        <v>11</v>
      </c>
    </row>
    <row r="711" spans="1:2">
      <c r="A711" s="529" t="s">
        <v>700</v>
      </c>
      <c r="B711" s="529">
        <v>12</v>
      </c>
    </row>
    <row r="712" spans="1:2">
      <c r="A712" s="529" t="s">
        <v>701</v>
      </c>
      <c r="B712" s="529">
        <v>13</v>
      </c>
    </row>
    <row r="713" spans="1:2">
      <c r="A713" s="529" t="s">
        <v>702</v>
      </c>
      <c r="B713" s="529">
        <v>14</v>
      </c>
    </row>
    <row r="714" spans="1:2">
      <c r="A714" s="529" t="s">
        <v>703</v>
      </c>
      <c r="B714" s="529">
        <v>15</v>
      </c>
    </row>
  </sheetData>
  <sheetProtection algorithmName="SHA-512" hashValue="rrhqloXFDLk4MQxAEe0UZzxYIDdNrYh22kzljsC/LBj1IVUPiihzKafggrF5Jel/97qDh1O6ot8feWb6Om3JUw==" saltValue="GMuQoCmLSVJJF0C48S+5Lg==" spinCount="100000" sheet="1" objects="1" scenarios="1" autoFilter="0"/>
  <autoFilter ref="A1:M701" xr:uid="{73434919-D128-4B61-9E94-ED67F54D65C3}"/>
  <sortState ref="T7:T65">
    <sortCondition ref="T65"/>
  </sortState>
  <mergeCells count="31">
    <mergeCell ref="S35:T35"/>
    <mergeCell ref="S36:T36"/>
    <mergeCell ref="S38:T38"/>
    <mergeCell ref="S39:T39"/>
    <mergeCell ref="S40:T40"/>
    <mergeCell ref="V35:Z36"/>
    <mergeCell ref="W37:Z37"/>
    <mergeCell ref="W38:Z38"/>
    <mergeCell ref="W39:Z39"/>
    <mergeCell ref="AB37:AF39"/>
    <mergeCell ref="S1:Z1"/>
    <mergeCell ref="S5:AG5"/>
    <mergeCell ref="Z6:AG6"/>
    <mergeCell ref="Z7:AG7"/>
    <mergeCell ref="Z8:AG8"/>
    <mergeCell ref="A704:B704"/>
    <mergeCell ref="Z9:AG9"/>
    <mergeCell ref="Z10:AG10"/>
    <mergeCell ref="Z11:AG11"/>
    <mergeCell ref="Z12:AG12"/>
    <mergeCell ref="Z13:AG13"/>
    <mergeCell ref="Z14:AG14"/>
    <mergeCell ref="Z15:AG15"/>
    <mergeCell ref="Z16:AG16"/>
    <mergeCell ref="S20:AF20"/>
    <mergeCell ref="S33:T33"/>
    <mergeCell ref="S34:T34"/>
    <mergeCell ref="S43:AF43"/>
    <mergeCell ref="W33:Z33"/>
    <mergeCell ref="AB33:AF34"/>
    <mergeCell ref="V40:AB40"/>
  </mergeCells>
  <conditionalFormatting sqref="A1:S2 U2:XFD3 G5:S5 G3:S3 G4:XFD4 A202:XFD703 G17:XFD19 A3:F201 A705:XFD1048576 A704 C704:XFD704 AA1:XFD1 G20:R31 G6:Z7 G8:Y16 AH5:XFD16 G32:AF32 U22:AF31 G37:V37 G33:R36 G38:R40 G41:XFD42 AG43:XFD44 G66:XFD66 G43:R65 V33 V34:AA34 V38:V40 AC40:XFD40 AA35 AA36:AF36 AG20:XFD39 G69:XFD201 G67:R68 T67:XFD68 U45:XFD65">
    <cfRule type="containsText" dxfId="51" priority="32" operator="containsText" text="alert">
      <formula>NOT(ISERROR(SEARCH("alert",A1)))</formula>
    </cfRule>
  </conditionalFormatting>
  <conditionalFormatting sqref="U24:Y26">
    <cfRule type="containsText" dxfId="50" priority="37" operator="containsText" text="Alert">
      <formula>NOT(ISERROR(SEARCH("Alert",U24)))</formula>
    </cfRule>
  </conditionalFormatting>
  <conditionalFormatting sqref="T2:T3">
    <cfRule type="containsText" dxfId="49" priority="31" operator="containsText" text="alert">
      <formula>NOT(ISERROR(SEARCH("alert",T2)))</formula>
    </cfRule>
  </conditionalFormatting>
  <conditionalFormatting sqref="S20 U21:AF21">
    <cfRule type="containsText" dxfId="48" priority="30" operator="containsText" text="alert">
      <formula>NOT(ISERROR(SEARCH("alert",S20)))</formula>
    </cfRule>
  </conditionalFormatting>
  <conditionalFormatting sqref="AB37">
    <cfRule type="containsText" dxfId="47" priority="1" operator="containsText" text="alert">
      <formula>NOT(ISERROR(SEARCH("alert",AB37)))</formula>
    </cfRule>
  </conditionalFormatting>
  <conditionalFormatting sqref="S21:T31">
    <cfRule type="containsText" dxfId="46" priority="29" operator="containsText" text="alert">
      <formula>NOT(ISERROR(SEARCH("alert",S21)))</formula>
    </cfRule>
  </conditionalFormatting>
  <conditionalFormatting sqref="Z8:Z16">
    <cfRule type="containsText" dxfId="45" priority="28" operator="containsText" text="alert">
      <formula>NOT(ISERROR(SEARCH("alert",Z8)))</formula>
    </cfRule>
  </conditionalFormatting>
  <conditionalFormatting sqref="S33:S35">
    <cfRule type="containsErrors" dxfId="44" priority="27">
      <formula>ISERROR(S33)</formula>
    </cfRule>
  </conditionalFormatting>
  <conditionalFormatting sqref="U33:U35">
    <cfRule type="containsErrors" dxfId="43" priority="26">
      <formula>ISERROR(U33)</formula>
    </cfRule>
  </conditionalFormatting>
  <conditionalFormatting sqref="U35">
    <cfRule type="cellIs" dxfId="42" priority="25" operator="lessThan">
      <formula>0</formula>
    </cfRule>
  </conditionalFormatting>
  <conditionalFormatting sqref="S36">
    <cfRule type="containsErrors" dxfId="41" priority="24">
      <formula>ISERROR(S36)</formula>
    </cfRule>
  </conditionalFormatting>
  <conditionalFormatting sqref="U36">
    <cfRule type="containsErrors" dxfId="40" priority="23">
      <formula>ISERROR(U36)</formula>
    </cfRule>
  </conditionalFormatting>
  <conditionalFormatting sqref="U36">
    <cfRule type="cellIs" dxfId="39" priority="22" operator="lessThan">
      <formula>0</formula>
    </cfRule>
  </conditionalFormatting>
  <conditionalFormatting sqref="S38">
    <cfRule type="containsErrors" dxfId="38" priority="21">
      <formula>ISERROR(S38)</formula>
    </cfRule>
  </conditionalFormatting>
  <conditionalFormatting sqref="U38">
    <cfRule type="containsErrors" dxfId="37" priority="20">
      <formula>ISERROR(U38)</formula>
    </cfRule>
  </conditionalFormatting>
  <conditionalFormatting sqref="S39">
    <cfRule type="containsErrors" dxfId="36" priority="19">
      <formula>ISERROR(S39)</formula>
    </cfRule>
  </conditionalFormatting>
  <conditionalFormatting sqref="U39">
    <cfRule type="containsErrors" dxfId="35" priority="18">
      <formula>ISERROR(U39)</formula>
    </cfRule>
  </conditionalFormatting>
  <conditionalFormatting sqref="S40">
    <cfRule type="containsErrors" dxfId="34" priority="17">
      <formula>ISERROR(S40)</formula>
    </cfRule>
  </conditionalFormatting>
  <conditionalFormatting sqref="U40">
    <cfRule type="containsErrors" dxfId="33" priority="16">
      <formula>ISERROR(U40)</formula>
    </cfRule>
  </conditionalFormatting>
  <conditionalFormatting sqref="S43 U44:AF44">
    <cfRule type="containsText" dxfId="32" priority="15" operator="containsText" text="alert">
      <formula>NOT(ISERROR(SEARCH("alert",S43)))</formula>
    </cfRule>
  </conditionalFormatting>
  <conditionalFormatting sqref="S44:T44">
    <cfRule type="containsText" dxfId="31" priority="14" operator="containsText" text="alert">
      <formula>NOT(ISERROR(SEARCH("alert",S44)))</formula>
    </cfRule>
  </conditionalFormatting>
  <conditionalFormatting sqref="S46:T65">
    <cfRule type="containsText" dxfId="30" priority="13" operator="containsText" text="alert">
      <formula>NOT(ISERROR(SEARCH("alert",S46)))</formula>
    </cfRule>
  </conditionalFormatting>
  <conditionalFormatting sqref="S45:T45">
    <cfRule type="containsText" dxfId="29" priority="12" operator="containsText" text="alert">
      <formula>NOT(ISERROR(SEARCH("alert",S45)))</formula>
    </cfRule>
  </conditionalFormatting>
  <conditionalFormatting sqref="W33">
    <cfRule type="containsErrors" dxfId="28" priority="11">
      <formula>ISERROR(W33)</formula>
    </cfRule>
  </conditionalFormatting>
  <conditionalFormatting sqref="AA33">
    <cfRule type="containsErrors" dxfId="27" priority="10">
      <formula>ISERROR(AA33)</formula>
    </cfRule>
  </conditionalFormatting>
  <conditionalFormatting sqref="AB33">
    <cfRule type="containsText" dxfId="26" priority="9" operator="containsText" text="alert">
      <formula>NOT(ISERROR(SEARCH("alert",AB33)))</formula>
    </cfRule>
  </conditionalFormatting>
  <conditionalFormatting sqref="V35">
    <cfRule type="containsText" dxfId="25" priority="8" operator="containsText" text="alert">
      <formula>NOT(ISERROR(SEARCH("alert",V35)))</formula>
    </cfRule>
  </conditionalFormatting>
  <conditionalFormatting sqref="W37">
    <cfRule type="containsErrors" dxfId="24" priority="7">
      <formula>ISERROR(W37)</formula>
    </cfRule>
  </conditionalFormatting>
  <conditionalFormatting sqref="AA37">
    <cfRule type="containsErrors" dxfId="23" priority="6">
      <formula>ISERROR(AA37)</formula>
    </cfRule>
  </conditionalFormatting>
  <conditionalFormatting sqref="W38">
    <cfRule type="containsErrors" dxfId="22" priority="5">
      <formula>ISERROR(W38)</formula>
    </cfRule>
  </conditionalFormatting>
  <conditionalFormatting sqref="AA38">
    <cfRule type="containsErrors" dxfId="21" priority="4">
      <formula>ISERROR(AA38)</formula>
    </cfRule>
  </conditionalFormatting>
  <conditionalFormatting sqref="W39">
    <cfRule type="containsErrors" dxfId="20" priority="3">
      <formula>ISERROR(W39)</formula>
    </cfRule>
  </conditionalFormatting>
  <conditionalFormatting sqref="AA39">
    <cfRule type="containsErrors" dxfId="19" priority="2">
      <formula>ISERROR(AA39)</formula>
    </cfRule>
  </conditionalFormatting>
  <hyperlinks>
    <hyperlink ref="S7" r:id="rId1" display="https://myfct.fct.pt/Projects/BudgetPrincipalContractor?ShowIncompleteFields=false&amp;ApplicationId=70237" xr:uid="{39C77E1D-5302-47B0-92D6-6604DB64AA52}"/>
    <hyperlink ref="S22" r:id="rId2" display="https://myfct.fct.pt/Projects/BudgetPrincipalContractor?ShowIncompleteFields=false&amp;ApplicationId=70237" xr:uid="{ACD97434-FEDB-4B1A-ABC7-21DCCAEA08FC}"/>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112F234C-FA21-45EA-BDF6-FC98B39AEEF1}">
          <x14:formula1>
            <xm:f>'2.Inst.'!$D$70:$D$80</xm:f>
          </x14:formula1>
          <xm:sqref>T2</xm:sqref>
        </x14:dataValidation>
        <x14:dataValidation type="list" allowBlank="1" showInputMessage="1" showErrorMessage="1" xr:uid="{7690C1DF-BBD5-4CFB-A854-3E8ABDF40386}">
          <x14:formula1>
            <xm:f>'3.Tasks'!$B$4:$B$23</xm:f>
          </x14:formula1>
          <xm:sqref>T3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6C5E-D7A5-4DD0-BAE8-FB4F5F64A0D7}">
  <sheetPr>
    <tabColor theme="5" tint="0.59999389629810485"/>
    <pageSetUpPr fitToPage="1"/>
  </sheetPr>
  <dimension ref="A1:BP31"/>
  <sheetViews>
    <sheetView topLeftCell="B1" zoomScale="80" zoomScaleNormal="80" workbookViewId="0">
      <selection activeCell="D1" sqref="D1:AP1"/>
    </sheetView>
  </sheetViews>
  <sheetFormatPr defaultColWidth="9.109375" defaultRowHeight="15.05"/>
  <cols>
    <col min="1" max="1" width="0" style="26" hidden="1" customWidth="1"/>
    <col min="2" max="2" width="5.44140625" style="26" customWidth="1"/>
    <col min="3" max="3" width="31.44140625" style="26" customWidth="1"/>
    <col min="4" max="4" width="10.44140625" style="26" customWidth="1"/>
    <col min="5" max="5" width="14.44140625" style="26" customWidth="1"/>
    <col min="6" max="6" width="22.109375" style="26" customWidth="1"/>
    <col min="7" max="54" width="3.44140625" style="26" customWidth="1"/>
    <col min="55" max="55" width="2.88671875" style="26" customWidth="1"/>
    <col min="56" max="67" width="9.109375" style="26" hidden="1" customWidth="1"/>
    <col min="68" max="68" width="78.44140625" style="26" customWidth="1"/>
    <col min="69" max="271" width="9.109375" style="26"/>
    <col min="272" max="272" width="7.44140625" style="26" customWidth="1"/>
    <col min="273" max="273" width="28.44140625" style="26" customWidth="1"/>
    <col min="274" max="274" width="13.44140625" style="26" customWidth="1"/>
    <col min="275" max="276" width="14.44140625" style="26" customWidth="1"/>
    <col min="277" max="312" width="2.44140625" style="26" customWidth="1"/>
    <col min="313" max="527" width="9.109375" style="26"/>
    <col min="528" max="528" width="7.44140625" style="26" customWidth="1"/>
    <col min="529" max="529" width="28.44140625" style="26" customWidth="1"/>
    <col min="530" max="530" width="13.44140625" style="26" customWidth="1"/>
    <col min="531" max="532" width="14.44140625" style="26" customWidth="1"/>
    <col min="533" max="568" width="2.44140625" style="26" customWidth="1"/>
    <col min="569" max="783" width="9.109375" style="26"/>
    <col min="784" max="784" width="7.44140625" style="26" customWidth="1"/>
    <col min="785" max="785" width="28.44140625" style="26" customWidth="1"/>
    <col min="786" max="786" width="13.44140625" style="26" customWidth="1"/>
    <col min="787" max="788" width="14.44140625" style="26" customWidth="1"/>
    <col min="789" max="824" width="2.44140625" style="26" customWidth="1"/>
    <col min="825" max="1039" width="9.109375" style="26"/>
    <col min="1040" max="1040" width="7.44140625" style="26" customWidth="1"/>
    <col min="1041" max="1041" width="28.44140625" style="26" customWidth="1"/>
    <col min="1042" max="1042" width="13.44140625" style="26" customWidth="1"/>
    <col min="1043" max="1044" width="14.44140625" style="26" customWidth="1"/>
    <col min="1045" max="1080" width="2.44140625" style="26" customWidth="1"/>
    <col min="1081" max="1295" width="9.109375" style="26"/>
    <col min="1296" max="1296" width="7.44140625" style="26" customWidth="1"/>
    <col min="1297" max="1297" width="28.44140625" style="26" customWidth="1"/>
    <col min="1298" max="1298" width="13.44140625" style="26" customWidth="1"/>
    <col min="1299" max="1300" width="14.44140625" style="26" customWidth="1"/>
    <col min="1301" max="1336" width="2.44140625" style="26" customWidth="1"/>
    <col min="1337" max="1551" width="9.109375" style="26"/>
    <col min="1552" max="1552" width="7.44140625" style="26" customWidth="1"/>
    <col min="1553" max="1553" width="28.44140625" style="26" customWidth="1"/>
    <col min="1554" max="1554" width="13.44140625" style="26" customWidth="1"/>
    <col min="1555" max="1556" width="14.44140625" style="26" customWidth="1"/>
    <col min="1557" max="1592" width="2.44140625" style="26" customWidth="1"/>
    <col min="1593" max="1807" width="9.109375" style="26"/>
    <col min="1808" max="1808" width="7.44140625" style="26" customWidth="1"/>
    <col min="1809" max="1809" width="28.44140625" style="26" customWidth="1"/>
    <col min="1810" max="1810" width="13.44140625" style="26" customWidth="1"/>
    <col min="1811" max="1812" width="14.44140625" style="26" customWidth="1"/>
    <col min="1813" max="1848" width="2.44140625" style="26" customWidth="1"/>
    <col min="1849" max="2063" width="9.109375" style="26"/>
    <col min="2064" max="2064" width="7.44140625" style="26" customWidth="1"/>
    <col min="2065" max="2065" width="28.44140625" style="26" customWidth="1"/>
    <col min="2066" max="2066" width="13.44140625" style="26" customWidth="1"/>
    <col min="2067" max="2068" width="14.44140625" style="26" customWidth="1"/>
    <col min="2069" max="2104" width="2.44140625" style="26" customWidth="1"/>
    <col min="2105" max="2319" width="9.109375" style="26"/>
    <col min="2320" max="2320" width="7.44140625" style="26" customWidth="1"/>
    <col min="2321" max="2321" width="28.44140625" style="26" customWidth="1"/>
    <col min="2322" max="2322" width="13.44140625" style="26" customWidth="1"/>
    <col min="2323" max="2324" width="14.44140625" style="26" customWidth="1"/>
    <col min="2325" max="2360" width="2.44140625" style="26" customWidth="1"/>
    <col min="2361" max="2575" width="9.109375" style="26"/>
    <col min="2576" max="2576" width="7.44140625" style="26" customWidth="1"/>
    <col min="2577" max="2577" width="28.44140625" style="26" customWidth="1"/>
    <col min="2578" max="2578" width="13.44140625" style="26" customWidth="1"/>
    <col min="2579" max="2580" width="14.44140625" style="26" customWidth="1"/>
    <col min="2581" max="2616" width="2.44140625" style="26" customWidth="1"/>
    <col min="2617" max="2831" width="9.109375" style="26"/>
    <col min="2832" max="2832" width="7.44140625" style="26" customWidth="1"/>
    <col min="2833" max="2833" width="28.44140625" style="26" customWidth="1"/>
    <col min="2834" max="2834" width="13.44140625" style="26" customWidth="1"/>
    <col min="2835" max="2836" width="14.44140625" style="26" customWidth="1"/>
    <col min="2837" max="2872" width="2.44140625" style="26" customWidth="1"/>
    <col min="2873" max="3087" width="9.109375" style="26"/>
    <col min="3088" max="3088" width="7.44140625" style="26" customWidth="1"/>
    <col min="3089" max="3089" width="28.44140625" style="26" customWidth="1"/>
    <col min="3090" max="3090" width="13.44140625" style="26" customWidth="1"/>
    <col min="3091" max="3092" width="14.44140625" style="26" customWidth="1"/>
    <col min="3093" max="3128" width="2.44140625" style="26" customWidth="1"/>
    <col min="3129" max="3343" width="9.109375" style="26"/>
    <col min="3344" max="3344" width="7.44140625" style="26" customWidth="1"/>
    <col min="3345" max="3345" width="28.44140625" style="26" customWidth="1"/>
    <col min="3346" max="3346" width="13.44140625" style="26" customWidth="1"/>
    <col min="3347" max="3348" width="14.44140625" style="26" customWidth="1"/>
    <col min="3349" max="3384" width="2.44140625" style="26" customWidth="1"/>
    <col min="3385" max="3599" width="9.109375" style="26"/>
    <col min="3600" max="3600" width="7.44140625" style="26" customWidth="1"/>
    <col min="3601" max="3601" width="28.44140625" style="26" customWidth="1"/>
    <col min="3602" max="3602" width="13.44140625" style="26" customWidth="1"/>
    <col min="3603" max="3604" width="14.44140625" style="26" customWidth="1"/>
    <col min="3605" max="3640" width="2.44140625" style="26" customWidth="1"/>
    <col min="3641" max="3855" width="9.109375" style="26"/>
    <col min="3856" max="3856" width="7.44140625" style="26" customWidth="1"/>
    <col min="3857" max="3857" width="28.44140625" style="26" customWidth="1"/>
    <col min="3858" max="3858" width="13.44140625" style="26" customWidth="1"/>
    <col min="3859" max="3860" width="14.44140625" style="26" customWidth="1"/>
    <col min="3861" max="3896" width="2.44140625" style="26" customWidth="1"/>
    <col min="3897" max="4111" width="9.109375" style="26"/>
    <col min="4112" max="4112" width="7.44140625" style="26" customWidth="1"/>
    <col min="4113" max="4113" width="28.44140625" style="26" customWidth="1"/>
    <col min="4114" max="4114" width="13.44140625" style="26" customWidth="1"/>
    <col min="4115" max="4116" width="14.44140625" style="26" customWidth="1"/>
    <col min="4117" max="4152" width="2.44140625" style="26" customWidth="1"/>
    <col min="4153" max="4367" width="9.109375" style="26"/>
    <col min="4368" max="4368" width="7.44140625" style="26" customWidth="1"/>
    <col min="4369" max="4369" width="28.44140625" style="26" customWidth="1"/>
    <col min="4370" max="4370" width="13.44140625" style="26" customWidth="1"/>
    <col min="4371" max="4372" width="14.44140625" style="26" customWidth="1"/>
    <col min="4373" max="4408" width="2.44140625" style="26" customWidth="1"/>
    <col min="4409" max="4623" width="9.109375" style="26"/>
    <col min="4624" max="4624" width="7.44140625" style="26" customWidth="1"/>
    <col min="4625" max="4625" width="28.44140625" style="26" customWidth="1"/>
    <col min="4626" max="4626" width="13.44140625" style="26" customWidth="1"/>
    <col min="4627" max="4628" width="14.44140625" style="26" customWidth="1"/>
    <col min="4629" max="4664" width="2.44140625" style="26" customWidth="1"/>
    <col min="4665" max="4879" width="9.109375" style="26"/>
    <col min="4880" max="4880" width="7.44140625" style="26" customWidth="1"/>
    <col min="4881" max="4881" width="28.44140625" style="26" customWidth="1"/>
    <col min="4882" max="4882" width="13.44140625" style="26" customWidth="1"/>
    <col min="4883" max="4884" width="14.44140625" style="26" customWidth="1"/>
    <col min="4885" max="4920" width="2.44140625" style="26" customWidth="1"/>
    <col min="4921" max="5135" width="9.109375" style="26"/>
    <col min="5136" max="5136" width="7.44140625" style="26" customWidth="1"/>
    <col min="5137" max="5137" width="28.44140625" style="26" customWidth="1"/>
    <col min="5138" max="5138" width="13.44140625" style="26" customWidth="1"/>
    <col min="5139" max="5140" width="14.44140625" style="26" customWidth="1"/>
    <col min="5141" max="5176" width="2.44140625" style="26" customWidth="1"/>
    <col min="5177" max="5391" width="9.109375" style="26"/>
    <col min="5392" max="5392" width="7.44140625" style="26" customWidth="1"/>
    <col min="5393" max="5393" width="28.44140625" style="26" customWidth="1"/>
    <col min="5394" max="5394" width="13.44140625" style="26" customWidth="1"/>
    <col min="5395" max="5396" width="14.44140625" style="26" customWidth="1"/>
    <col min="5397" max="5432" width="2.44140625" style="26" customWidth="1"/>
    <col min="5433" max="5647" width="9.109375" style="26"/>
    <col min="5648" max="5648" width="7.44140625" style="26" customWidth="1"/>
    <col min="5649" max="5649" width="28.44140625" style="26" customWidth="1"/>
    <col min="5650" max="5650" width="13.44140625" style="26" customWidth="1"/>
    <col min="5651" max="5652" width="14.44140625" style="26" customWidth="1"/>
    <col min="5653" max="5688" width="2.44140625" style="26" customWidth="1"/>
    <col min="5689" max="5903" width="9.109375" style="26"/>
    <col min="5904" max="5904" width="7.44140625" style="26" customWidth="1"/>
    <col min="5905" max="5905" width="28.44140625" style="26" customWidth="1"/>
    <col min="5906" max="5906" width="13.44140625" style="26" customWidth="1"/>
    <col min="5907" max="5908" width="14.44140625" style="26" customWidth="1"/>
    <col min="5909" max="5944" width="2.44140625" style="26" customWidth="1"/>
    <col min="5945" max="6159" width="9.109375" style="26"/>
    <col min="6160" max="6160" width="7.44140625" style="26" customWidth="1"/>
    <col min="6161" max="6161" width="28.44140625" style="26" customWidth="1"/>
    <col min="6162" max="6162" width="13.44140625" style="26" customWidth="1"/>
    <col min="6163" max="6164" width="14.44140625" style="26" customWidth="1"/>
    <col min="6165" max="6200" width="2.44140625" style="26" customWidth="1"/>
    <col min="6201" max="6415" width="9.109375" style="26"/>
    <col min="6416" max="6416" width="7.44140625" style="26" customWidth="1"/>
    <col min="6417" max="6417" width="28.44140625" style="26" customWidth="1"/>
    <col min="6418" max="6418" width="13.44140625" style="26" customWidth="1"/>
    <col min="6419" max="6420" width="14.44140625" style="26" customWidth="1"/>
    <col min="6421" max="6456" width="2.44140625" style="26" customWidth="1"/>
    <col min="6457" max="6671" width="9.109375" style="26"/>
    <col min="6672" max="6672" width="7.44140625" style="26" customWidth="1"/>
    <col min="6673" max="6673" width="28.44140625" style="26" customWidth="1"/>
    <col min="6674" max="6674" width="13.44140625" style="26" customWidth="1"/>
    <col min="6675" max="6676" width="14.44140625" style="26" customWidth="1"/>
    <col min="6677" max="6712" width="2.44140625" style="26" customWidth="1"/>
    <col min="6713" max="6927" width="9.109375" style="26"/>
    <col min="6928" max="6928" width="7.44140625" style="26" customWidth="1"/>
    <col min="6929" max="6929" width="28.44140625" style="26" customWidth="1"/>
    <col min="6930" max="6930" width="13.44140625" style="26" customWidth="1"/>
    <col min="6931" max="6932" width="14.44140625" style="26" customWidth="1"/>
    <col min="6933" max="6968" width="2.44140625" style="26" customWidth="1"/>
    <col min="6969" max="7183" width="9.109375" style="26"/>
    <col min="7184" max="7184" width="7.44140625" style="26" customWidth="1"/>
    <col min="7185" max="7185" width="28.44140625" style="26" customWidth="1"/>
    <col min="7186" max="7186" width="13.44140625" style="26" customWidth="1"/>
    <col min="7187" max="7188" width="14.44140625" style="26" customWidth="1"/>
    <col min="7189" max="7224" width="2.44140625" style="26" customWidth="1"/>
    <col min="7225" max="7439" width="9.109375" style="26"/>
    <col min="7440" max="7440" width="7.44140625" style="26" customWidth="1"/>
    <col min="7441" max="7441" width="28.44140625" style="26" customWidth="1"/>
    <col min="7442" max="7442" width="13.44140625" style="26" customWidth="1"/>
    <col min="7443" max="7444" width="14.44140625" style="26" customWidth="1"/>
    <col min="7445" max="7480" width="2.44140625" style="26" customWidth="1"/>
    <col min="7481" max="7695" width="9.109375" style="26"/>
    <col min="7696" max="7696" width="7.44140625" style="26" customWidth="1"/>
    <col min="7697" max="7697" width="28.44140625" style="26" customWidth="1"/>
    <col min="7698" max="7698" width="13.44140625" style="26" customWidth="1"/>
    <col min="7699" max="7700" width="14.44140625" style="26" customWidth="1"/>
    <col min="7701" max="7736" width="2.44140625" style="26" customWidth="1"/>
    <col min="7737" max="7951" width="9.109375" style="26"/>
    <col min="7952" max="7952" width="7.44140625" style="26" customWidth="1"/>
    <col min="7953" max="7953" width="28.44140625" style="26" customWidth="1"/>
    <col min="7954" max="7954" width="13.44140625" style="26" customWidth="1"/>
    <col min="7955" max="7956" width="14.44140625" style="26" customWidth="1"/>
    <col min="7957" max="7992" width="2.44140625" style="26" customWidth="1"/>
    <col min="7993" max="8207" width="9.109375" style="26"/>
    <col min="8208" max="8208" width="7.44140625" style="26" customWidth="1"/>
    <col min="8209" max="8209" width="28.44140625" style="26" customWidth="1"/>
    <col min="8210" max="8210" width="13.44140625" style="26" customWidth="1"/>
    <col min="8211" max="8212" width="14.44140625" style="26" customWidth="1"/>
    <col min="8213" max="8248" width="2.44140625" style="26" customWidth="1"/>
    <col min="8249" max="8463" width="9.109375" style="26"/>
    <col min="8464" max="8464" width="7.44140625" style="26" customWidth="1"/>
    <col min="8465" max="8465" width="28.44140625" style="26" customWidth="1"/>
    <col min="8466" max="8466" width="13.44140625" style="26" customWidth="1"/>
    <col min="8467" max="8468" width="14.44140625" style="26" customWidth="1"/>
    <col min="8469" max="8504" width="2.44140625" style="26" customWidth="1"/>
    <col min="8505" max="8719" width="9.109375" style="26"/>
    <col min="8720" max="8720" width="7.44140625" style="26" customWidth="1"/>
    <col min="8721" max="8721" width="28.44140625" style="26" customWidth="1"/>
    <col min="8722" max="8722" width="13.44140625" style="26" customWidth="1"/>
    <col min="8723" max="8724" width="14.44140625" style="26" customWidth="1"/>
    <col min="8725" max="8760" width="2.44140625" style="26" customWidth="1"/>
    <col min="8761" max="8975" width="9.109375" style="26"/>
    <col min="8976" max="8976" width="7.44140625" style="26" customWidth="1"/>
    <col min="8977" max="8977" width="28.44140625" style="26" customWidth="1"/>
    <col min="8978" max="8978" width="13.44140625" style="26" customWidth="1"/>
    <col min="8979" max="8980" width="14.44140625" style="26" customWidth="1"/>
    <col min="8981" max="9016" width="2.44140625" style="26" customWidth="1"/>
    <col min="9017" max="9231" width="9.109375" style="26"/>
    <col min="9232" max="9232" width="7.44140625" style="26" customWidth="1"/>
    <col min="9233" max="9233" width="28.44140625" style="26" customWidth="1"/>
    <col min="9234" max="9234" width="13.44140625" style="26" customWidth="1"/>
    <col min="9235" max="9236" width="14.44140625" style="26" customWidth="1"/>
    <col min="9237" max="9272" width="2.44140625" style="26" customWidth="1"/>
    <col min="9273" max="9487" width="9.109375" style="26"/>
    <col min="9488" max="9488" width="7.44140625" style="26" customWidth="1"/>
    <col min="9489" max="9489" width="28.44140625" style="26" customWidth="1"/>
    <col min="9490" max="9490" width="13.44140625" style="26" customWidth="1"/>
    <col min="9491" max="9492" width="14.44140625" style="26" customWidth="1"/>
    <col min="9493" max="9528" width="2.44140625" style="26" customWidth="1"/>
    <col min="9529" max="9743" width="9.109375" style="26"/>
    <col min="9744" max="9744" width="7.44140625" style="26" customWidth="1"/>
    <col min="9745" max="9745" width="28.44140625" style="26" customWidth="1"/>
    <col min="9746" max="9746" width="13.44140625" style="26" customWidth="1"/>
    <col min="9747" max="9748" width="14.44140625" style="26" customWidth="1"/>
    <col min="9749" max="9784" width="2.44140625" style="26" customWidth="1"/>
    <col min="9785" max="9999" width="9.109375" style="26"/>
    <col min="10000" max="10000" width="7.44140625" style="26" customWidth="1"/>
    <col min="10001" max="10001" width="28.44140625" style="26" customWidth="1"/>
    <col min="10002" max="10002" width="13.44140625" style="26" customWidth="1"/>
    <col min="10003" max="10004" width="14.44140625" style="26" customWidth="1"/>
    <col min="10005" max="10040" width="2.44140625" style="26" customWidth="1"/>
    <col min="10041" max="10255" width="9.109375" style="26"/>
    <col min="10256" max="10256" width="7.44140625" style="26" customWidth="1"/>
    <col min="10257" max="10257" width="28.44140625" style="26" customWidth="1"/>
    <col min="10258" max="10258" width="13.44140625" style="26" customWidth="1"/>
    <col min="10259" max="10260" width="14.44140625" style="26" customWidth="1"/>
    <col min="10261" max="10296" width="2.44140625" style="26" customWidth="1"/>
    <col min="10297" max="10511" width="9.109375" style="26"/>
    <col min="10512" max="10512" width="7.44140625" style="26" customWidth="1"/>
    <col min="10513" max="10513" width="28.44140625" style="26" customWidth="1"/>
    <col min="10514" max="10514" width="13.44140625" style="26" customWidth="1"/>
    <col min="10515" max="10516" width="14.44140625" style="26" customWidth="1"/>
    <col min="10517" max="10552" width="2.44140625" style="26" customWidth="1"/>
    <col min="10553" max="10767" width="9.109375" style="26"/>
    <col min="10768" max="10768" width="7.44140625" style="26" customWidth="1"/>
    <col min="10769" max="10769" width="28.44140625" style="26" customWidth="1"/>
    <col min="10770" max="10770" width="13.44140625" style="26" customWidth="1"/>
    <col min="10771" max="10772" width="14.44140625" style="26" customWidth="1"/>
    <col min="10773" max="10808" width="2.44140625" style="26" customWidth="1"/>
    <col min="10809" max="11023" width="9.109375" style="26"/>
    <col min="11024" max="11024" width="7.44140625" style="26" customWidth="1"/>
    <col min="11025" max="11025" width="28.44140625" style="26" customWidth="1"/>
    <col min="11026" max="11026" width="13.44140625" style="26" customWidth="1"/>
    <col min="11027" max="11028" width="14.44140625" style="26" customWidth="1"/>
    <col min="11029" max="11064" width="2.44140625" style="26" customWidth="1"/>
    <col min="11065" max="11279" width="9.109375" style="26"/>
    <col min="11280" max="11280" width="7.44140625" style="26" customWidth="1"/>
    <col min="11281" max="11281" width="28.44140625" style="26" customWidth="1"/>
    <col min="11282" max="11282" width="13.44140625" style="26" customWidth="1"/>
    <col min="11283" max="11284" width="14.44140625" style="26" customWidth="1"/>
    <col min="11285" max="11320" width="2.44140625" style="26" customWidth="1"/>
    <col min="11321" max="11535" width="9.109375" style="26"/>
    <col min="11536" max="11536" width="7.44140625" style="26" customWidth="1"/>
    <col min="11537" max="11537" width="28.44140625" style="26" customWidth="1"/>
    <col min="11538" max="11538" width="13.44140625" style="26" customWidth="1"/>
    <col min="11539" max="11540" width="14.44140625" style="26" customWidth="1"/>
    <col min="11541" max="11576" width="2.44140625" style="26" customWidth="1"/>
    <col min="11577" max="11791" width="9.109375" style="26"/>
    <col min="11792" max="11792" width="7.44140625" style="26" customWidth="1"/>
    <col min="11793" max="11793" width="28.44140625" style="26" customWidth="1"/>
    <col min="11794" max="11794" width="13.44140625" style="26" customWidth="1"/>
    <col min="11795" max="11796" width="14.44140625" style="26" customWidth="1"/>
    <col min="11797" max="11832" width="2.44140625" style="26" customWidth="1"/>
    <col min="11833" max="12047" width="9.109375" style="26"/>
    <col min="12048" max="12048" width="7.44140625" style="26" customWidth="1"/>
    <col min="12049" max="12049" width="28.44140625" style="26" customWidth="1"/>
    <col min="12050" max="12050" width="13.44140625" style="26" customWidth="1"/>
    <col min="12051" max="12052" width="14.44140625" style="26" customWidth="1"/>
    <col min="12053" max="12088" width="2.44140625" style="26" customWidth="1"/>
    <col min="12089" max="12303" width="9.109375" style="26"/>
    <col min="12304" max="12304" width="7.44140625" style="26" customWidth="1"/>
    <col min="12305" max="12305" width="28.44140625" style="26" customWidth="1"/>
    <col min="12306" max="12306" width="13.44140625" style="26" customWidth="1"/>
    <col min="12307" max="12308" width="14.44140625" style="26" customWidth="1"/>
    <col min="12309" max="12344" width="2.44140625" style="26" customWidth="1"/>
    <col min="12345" max="12559" width="9.109375" style="26"/>
    <col min="12560" max="12560" width="7.44140625" style="26" customWidth="1"/>
    <col min="12561" max="12561" width="28.44140625" style="26" customWidth="1"/>
    <col min="12562" max="12562" width="13.44140625" style="26" customWidth="1"/>
    <col min="12563" max="12564" width="14.44140625" style="26" customWidth="1"/>
    <col min="12565" max="12600" width="2.44140625" style="26" customWidth="1"/>
    <col min="12601" max="12815" width="9.109375" style="26"/>
    <col min="12816" max="12816" width="7.44140625" style="26" customWidth="1"/>
    <col min="12817" max="12817" width="28.44140625" style="26" customWidth="1"/>
    <col min="12818" max="12818" width="13.44140625" style="26" customWidth="1"/>
    <col min="12819" max="12820" width="14.44140625" style="26" customWidth="1"/>
    <col min="12821" max="12856" width="2.44140625" style="26" customWidth="1"/>
    <col min="12857" max="13071" width="9.109375" style="26"/>
    <col min="13072" max="13072" width="7.44140625" style="26" customWidth="1"/>
    <col min="13073" max="13073" width="28.44140625" style="26" customWidth="1"/>
    <col min="13074" max="13074" width="13.44140625" style="26" customWidth="1"/>
    <col min="13075" max="13076" width="14.44140625" style="26" customWidth="1"/>
    <col min="13077" max="13112" width="2.44140625" style="26" customWidth="1"/>
    <col min="13113" max="13327" width="9.109375" style="26"/>
    <col min="13328" max="13328" width="7.44140625" style="26" customWidth="1"/>
    <col min="13329" max="13329" width="28.44140625" style="26" customWidth="1"/>
    <col min="13330" max="13330" width="13.44140625" style="26" customWidth="1"/>
    <col min="13331" max="13332" width="14.44140625" style="26" customWidth="1"/>
    <col min="13333" max="13368" width="2.44140625" style="26" customWidth="1"/>
    <col min="13369" max="13583" width="9.109375" style="26"/>
    <col min="13584" max="13584" width="7.44140625" style="26" customWidth="1"/>
    <col min="13585" max="13585" width="28.44140625" style="26" customWidth="1"/>
    <col min="13586" max="13586" width="13.44140625" style="26" customWidth="1"/>
    <col min="13587" max="13588" width="14.44140625" style="26" customWidth="1"/>
    <col min="13589" max="13624" width="2.44140625" style="26" customWidth="1"/>
    <col min="13625" max="13839" width="9.109375" style="26"/>
    <col min="13840" max="13840" width="7.44140625" style="26" customWidth="1"/>
    <col min="13841" max="13841" width="28.44140625" style="26" customWidth="1"/>
    <col min="13842" max="13842" width="13.44140625" style="26" customWidth="1"/>
    <col min="13843" max="13844" width="14.44140625" style="26" customWidth="1"/>
    <col min="13845" max="13880" width="2.44140625" style="26" customWidth="1"/>
    <col min="13881" max="14095" width="9.109375" style="26"/>
    <col min="14096" max="14096" width="7.44140625" style="26" customWidth="1"/>
    <col min="14097" max="14097" width="28.44140625" style="26" customWidth="1"/>
    <col min="14098" max="14098" width="13.44140625" style="26" customWidth="1"/>
    <col min="14099" max="14100" width="14.44140625" style="26" customWidth="1"/>
    <col min="14101" max="14136" width="2.44140625" style="26" customWidth="1"/>
    <col min="14137" max="14351" width="9.109375" style="26"/>
    <col min="14352" max="14352" width="7.44140625" style="26" customWidth="1"/>
    <col min="14353" max="14353" width="28.44140625" style="26" customWidth="1"/>
    <col min="14354" max="14354" width="13.44140625" style="26" customWidth="1"/>
    <col min="14355" max="14356" width="14.44140625" style="26" customWidth="1"/>
    <col min="14357" max="14392" width="2.44140625" style="26" customWidth="1"/>
    <col min="14393" max="14607" width="9.109375" style="26"/>
    <col min="14608" max="14608" width="7.44140625" style="26" customWidth="1"/>
    <col min="14609" max="14609" width="28.44140625" style="26" customWidth="1"/>
    <col min="14610" max="14610" width="13.44140625" style="26" customWidth="1"/>
    <col min="14611" max="14612" width="14.44140625" style="26" customWidth="1"/>
    <col min="14613" max="14648" width="2.44140625" style="26" customWidth="1"/>
    <col min="14649" max="14863" width="9.109375" style="26"/>
    <col min="14864" max="14864" width="7.44140625" style="26" customWidth="1"/>
    <col min="14865" max="14865" width="28.44140625" style="26" customWidth="1"/>
    <col min="14866" max="14866" width="13.44140625" style="26" customWidth="1"/>
    <col min="14867" max="14868" width="14.44140625" style="26" customWidth="1"/>
    <col min="14869" max="14904" width="2.44140625" style="26" customWidth="1"/>
    <col min="14905" max="15119" width="9.109375" style="26"/>
    <col min="15120" max="15120" width="7.44140625" style="26" customWidth="1"/>
    <col min="15121" max="15121" width="28.44140625" style="26" customWidth="1"/>
    <col min="15122" max="15122" width="13.44140625" style="26" customWidth="1"/>
    <col min="15123" max="15124" width="14.44140625" style="26" customWidth="1"/>
    <col min="15125" max="15160" width="2.44140625" style="26" customWidth="1"/>
    <col min="15161" max="15375" width="9.109375" style="26"/>
    <col min="15376" max="15376" width="7.44140625" style="26" customWidth="1"/>
    <col min="15377" max="15377" width="28.44140625" style="26" customWidth="1"/>
    <col min="15378" max="15378" width="13.44140625" style="26" customWidth="1"/>
    <col min="15379" max="15380" width="14.44140625" style="26" customWidth="1"/>
    <col min="15381" max="15416" width="2.44140625" style="26" customWidth="1"/>
    <col min="15417" max="15631" width="9.109375" style="26"/>
    <col min="15632" max="15632" width="7.44140625" style="26" customWidth="1"/>
    <col min="15633" max="15633" width="28.44140625" style="26" customWidth="1"/>
    <col min="15634" max="15634" width="13.44140625" style="26" customWidth="1"/>
    <col min="15635" max="15636" width="14.44140625" style="26" customWidth="1"/>
    <col min="15637" max="15672" width="2.44140625" style="26" customWidth="1"/>
    <col min="15673" max="15887" width="9.109375" style="26"/>
    <col min="15888" max="15888" width="7.44140625" style="26" customWidth="1"/>
    <col min="15889" max="15889" width="28.44140625" style="26" customWidth="1"/>
    <col min="15890" max="15890" width="13.44140625" style="26" customWidth="1"/>
    <col min="15891" max="15892" width="14.44140625" style="26" customWidth="1"/>
    <col min="15893" max="15928" width="2.44140625" style="26" customWidth="1"/>
    <col min="15929" max="16143" width="9.109375" style="26"/>
    <col min="16144" max="16144" width="7.44140625" style="26" customWidth="1"/>
    <col min="16145" max="16145" width="28.44140625" style="26" customWidth="1"/>
    <col min="16146" max="16146" width="13.44140625" style="26" customWidth="1"/>
    <col min="16147" max="16148" width="14.44140625" style="26" customWidth="1"/>
    <col min="16149" max="16184" width="2.44140625" style="26" customWidth="1"/>
    <col min="16185" max="16384" width="9.109375" style="26"/>
  </cols>
  <sheetData>
    <row r="1" spans="1:68" s="501" customFormat="1" ht="27" customHeight="1">
      <c r="C1" s="502" t="s">
        <v>88</v>
      </c>
      <c r="D1" s="837" t="str">
        <f>IF('1.G.Data'!C6="","",'1.G.Data'!C6)</f>
        <v/>
      </c>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c r="AP1" s="837"/>
      <c r="AQ1" s="577"/>
      <c r="AR1" s="577"/>
      <c r="AS1" s="577"/>
      <c r="AT1" s="577"/>
      <c r="AU1" s="577"/>
      <c r="AV1" s="577"/>
      <c r="AW1" s="577"/>
      <c r="AX1" s="577"/>
      <c r="AY1" s="577"/>
      <c r="AZ1" s="577"/>
      <c r="BA1" s="577"/>
      <c r="BB1" s="577"/>
    </row>
    <row r="2" spans="1:68" ht="34.549999999999997" customHeight="1">
      <c r="C2" s="596" t="s">
        <v>89</v>
      </c>
      <c r="D2" s="839">
        <f>IF('1.G.Data'!C4="",'1.G.Data'!C3,'1.G.Data'!C4)</f>
        <v>0</v>
      </c>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c r="AZ2" s="839"/>
      <c r="BA2" s="839"/>
      <c r="BB2" s="839"/>
    </row>
    <row r="3" spans="1:68" s="501" customFormat="1" ht="6.75" customHeight="1"/>
    <row r="4" spans="1:68" s="501" customFormat="1" ht="15.75" thickBot="1">
      <c r="G4" s="838">
        <f ca="1">+'3.Tasks'!J1</f>
        <v>2026</v>
      </c>
      <c r="H4" s="835"/>
      <c r="I4" s="835"/>
      <c r="J4" s="835"/>
      <c r="K4" s="835"/>
      <c r="L4" s="835"/>
      <c r="M4" s="835"/>
      <c r="N4" s="835"/>
      <c r="O4" s="835"/>
      <c r="P4" s="835"/>
      <c r="Q4" s="835"/>
      <c r="R4" s="836"/>
      <c r="S4" s="834">
        <f ca="1">+G4+1</f>
        <v>2027</v>
      </c>
      <c r="T4" s="835"/>
      <c r="U4" s="835"/>
      <c r="V4" s="835"/>
      <c r="W4" s="835"/>
      <c r="X4" s="835"/>
      <c r="Y4" s="835"/>
      <c r="Z4" s="835"/>
      <c r="AA4" s="835"/>
      <c r="AB4" s="835"/>
      <c r="AC4" s="835"/>
      <c r="AD4" s="836"/>
      <c r="AE4" s="834">
        <f ca="1">+S4+1</f>
        <v>2028</v>
      </c>
      <c r="AF4" s="835"/>
      <c r="AG4" s="835"/>
      <c r="AH4" s="835"/>
      <c r="AI4" s="835"/>
      <c r="AJ4" s="835"/>
      <c r="AK4" s="835"/>
      <c r="AL4" s="835"/>
      <c r="AM4" s="835"/>
      <c r="AN4" s="835"/>
      <c r="AO4" s="835"/>
      <c r="AP4" s="836"/>
      <c r="AQ4" s="834">
        <f ca="1">+AE4+1</f>
        <v>2029</v>
      </c>
      <c r="AR4" s="835"/>
      <c r="AS4" s="835"/>
      <c r="AT4" s="835"/>
      <c r="AU4" s="835"/>
      <c r="AV4" s="835"/>
      <c r="AW4" s="835"/>
      <c r="AX4" s="835"/>
      <c r="AY4" s="835"/>
      <c r="AZ4" s="835"/>
      <c r="BA4" s="835"/>
      <c r="BB4" s="836"/>
      <c r="BD4" s="595" t="str">
        <f>BD5&amp;";"</f>
        <v>;</v>
      </c>
      <c r="BE4" s="595" t="str">
        <f>IF(BE5=0,"",CONCATENATE(BE5&amp;";"))</f>
        <v/>
      </c>
      <c r="BF4" s="595" t="str">
        <f t="shared" ref="BF4:BM4" si="0">IF(BF5=0,"",CONCATENATE(BF5&amp;";"))</f>
        <v/>
      </c>
      <c r="BG4" s="595" t="str">
        <f t="shared" si="0"/>
        <v/>
      </c>
      <c r="BH4" s="595" t="str">
        <f t="shared" si="0"/>
        <v/>
      </c>
      <c r="BI4" s="595" t="str">
        <f t="shared" si="0"/>
        <v/>
      </c>
      <c r="BJ4" s="595" t="str">
        <f t="shared" si="0"/>
        <v/>
      </c>
      <c r="BK4" s="595" t="str">
        <f t="shared" si="0"/>
        <v/>
      </c>
      <c r="BL4" s="595" t="str">
        <f t="shared" si="0"/>
        <v/>
      </c>
      <c r="BM4" s="595" t="str">
        <f t="shared" si="0"/>
        <v/>
      </c>
      <c r="BN4" s="595" t="str">
        <f>IF(BN5=0,"",CONCATENATE(BN5&amp;";"))</f>
        <v/>
      </c>
      <c r="BP4" s="501" t="s">
        <v>90</v>
      </c>
    </row>
    <row r="5" spans="1:68" s="501" customFormat="1" ht="36" thickBot="1">
      <c r="B5" s="503" t="s">
        <v>91</v>
      </c>
      <c r="C5" s="503" t="s">
        <v>92</v>
      </c>
      <c r="D5" s="503" t="s">
        <v>857</v>
      </c>
      <c r="E5" s="504" t="s">
        <v>93</v>
      </c>
      <c r="F5" s="505" t="s">
        <v>94</v>
      </c>
      <c r="G5" s="506">
        <v>1</v>
      </c>
      <c r="H5" s="507">
        <f>G5+1</f>
        <v>2</v>
      </c>
      <c r="I5" s="507">
        <f t="shared" ref="I5:AP5" si="1">H5+1</f>
        <v>3</v>
      </c>
      <c r="J5" s="507">
        <f t="shared" si="1"/>
        <v>4</v>
      </c>
      <c r="K5" s="507">
        <f t="shared" si="1"/>
        <v>5</v>
      </c>
      <c r="L5" s="507">
        <f t="shared" si="1"/>
        <v>6</v>
      </c>
      <c r="M5" s="507">
        <f t="shared" si="1"/>
        <v>7</v>
      </c>
      <c r="N5" s="507">
        <f t="shared" si="1"/>
        <v>8</v>
      </c>
      <c r="O5" s="507">
        <f t="shared" si="1"/>
        <v>9</v>
      </c>
      <c r="P5" s="507">
        <f t="shared" si="1"/>
        <v>10</v>
      </c>
      <c r="Q5" s="507">
        <f t="shared" si="1"/>
        <v>11</v>
      </c>
      <c r="R5" s="508">
        <f t="shared" si="1"/>
        <v>12</v>
      </c>
      <c r="S5" s="509">
        <f t="shared" si="1"/>
        <v>13</v>
      </c>
      <c r="T5" s="507">
        <f t="shared" si="1"/>
        <v>14</v>
      </c>
      <c r="U5" s="507">
        <f t="shared" si="1"/>
        <v>15</v>
      </c>
      <c r="V5" s="507">
        <f t="shared" si="1"/>
        <v>16</v>
      </c>
      <c r="W5" s="507">
        <f t="shared" si="1"/>
        <v>17</v>
      </c>
      <c r="X5" s="507">
        <f t="shared" si="1"/>
        <v>18</v>
      </c>
      <c r="Y5" s="507">
        <f t="shared" si="1"/>
        <v>19</v>
      </c>
      <c r="Z5" s="507">
        <f t="shared" si="1"/>
        <v>20</v>
      </c>
      <c r="AA5" s="507">
        <f t="shared" si="1"/>
        <v>21</v>
      </c>
      <c r="AB5" s="507">
        <f t="shared" si="1"/>
        <v>22</v>
      </c>
      <c r="AC5" s="507">
        <f t="shared" si="1"/>
        <v>23</v>
      </c>
      <c r="AD5" s="508">
        <f t="shared" si="1"/>
        <v>24</v>
      </c>
      <c r="AE5" s="509">
        <f t="shared" si="1"/>
        <v>25</v>
      </c>
      <c r="AF5" s="507">
        <f t="shared" si="1"/>
        <v>26</v>
      </c>
      <c r="AG5" s="507">
        <f t="shared" si="1"/>
        <v>27</v>
      </c>
      <c r="AH5" s="507">
        <f t="shared" si="1"/>
        <v>28</v>
      </c>
      <c r="AI5" s="507">
        <f t="shared" si="1"/>
        <v>29</v>
      </c>
      <c r="AJ5" s="507">
        <f t="shared" si="1"/>
        <v>30</v>
      </c>
      <c r="AK5" s="507">
        <f t="shared" si="1"/>
        <v>31</v>
      </c>
      <c r="AL5" s="507">
        <f t="shared" si="1"/>
        <v>32</v>
      </c>
      <c r="AM5" s="507">
        <f t="shared" si="1"/>
        <v>33</v>
      </c>
      <c r="AN5" s="507">
        <f t="shared" si="1"/>
        <v>34</v>
      </c>
      <c r="AO5" s="507">
        <f t="shared" si="1"/>
        <v>35</v>
      </c>
      <c r="AP5" s="508">
        <f t="shared" si="1"/>
        <v>36</v>
      </c>
      <c r="AQ5" s="509">
        <f>+AP5+1</f>
        <v>37</v>
      </c>
      <c r="AR5" s="507">
        <f>+AQ5+1</f>
        <v>38</v>
      </c>
      <c r="AS5" s="507">
        <f t="shared" ref="AS5:BA5" si="2">+AR5+1</f>
        <v>39</v>
      </c>
      <c r="AT5" s="507">
        <f t="shared" si="2"/>
        <v>40</v>
      </c>
      <c r="AU5" s="507">
        <f t="shared" si="2"/>
        <v>41</v>
      </c>
      <c r="AV5" s="507">
        <f t="shared" si="2"/>
        <v>42</v>
      </c>
      <c r="AW5" s="507">
        <f t="shared" si="2"/>
        <v>43</v>
      </c>
      <c r="AX5" s="507">
        <f t="shared" si="2"/>
        <v>44</v>
      </c>
      <c r="AY5" s="507">
        <f t="shared" si="2"/>
        <v>45</v>
      </c>
      <c r="AZ5" s="507">
        <f t="shared" si="2"/>
        <v>46</v>
      </c>
      <c r="BA5" s="507">
        <f t="shared" si="2"/>
        <v>47</v>
      </c>
      <c r="BB5" s="508">
        <f>+BA5+1</f>
        <v>48</v>
      </c>
      <c r="BD5" s="510" t="str">
        <f>+'2.Inst.'!A32</f>
        <v/>
      </c>
      <c r="BE5" s="511">
        <f>+'2.Inst.'!A33</f>
        <v>0</v>
      </c>
      <c r="BF5" s="511">
        <f>+'2.Inst.'!A34</f>
        <v>0</v>
      </c>
      <c r="BG5" s="511">
        <f>+'2.Inst.'!A35</f>
        <v>0</v>
      </c>
      <c r="BH5" s="511">
        <f>+'2.Inst.'!A36</f>
        <v>0</v>
      </c>
      <c r="BI5" s="511">
        <f>+'2.Inst.'!A37</f>
        <v>0</v>
      </c>
      <c r="BJ5" s="511">
        <f>+'2.Inst.'!A38</f>
        <v>0</v>
      </c>
      <c r="BK5" s="511">
        <f>+'2.Inst.'!A39</f>
        <v>0</v>
      </c>
      <c r="BL5" s="511">
        <f>+'2.Inst.'!A40</f>
        <v>0</v>
      </c>
      <c r="BM5" s="511">
        <f>+'2.Inst.'!A41</f>
        <v>0</v>
      </c>
      <c r="BN5" s="512">
        <f>+'2.Inst.'!A42</f>
        <v>0</v>
      </c>
    </row>
    <row r="6" spans="1:68" s="36" customFormat="1" ht="23.4" customHeight="1">
      <c r="A6" s="36" t="s">
        <v>18</v>
      </c>
      <c r="B6" s="27">
        <v>1</v>
      </c>
      <c r="C6" s="28">
        <f>+'3.Tasks'!C4</f>
        <v>0</v>
      </c>
      <c r="D6" s="29">
        <f>+'4.Team'!BF31+'4.Team'!BF40+'4.Team'!BF49</f>
        <v>0</v>
      </c>
      <c r="E6" s="30"/>
      <c r="F6" s="31" t="str">
        <f>IF(C6=0,"NA",BD6&amp;BE6&amp;BF6&amp;BG6&amp;BH6&amp;BI6&amp;BJ6&amp;BK6&amp;BL6&amp;BM6&amp;BN6)</f>
        <v>NA</v>
      </c>
      <c r="G6" s="32">
        <f ca="1">+'3.Tasks'!J4</f>
        <v>0</v>
      </c>
      <c r="H6" s="33">
        <f ca="1">+'3.Tasks'!K4</f>
        <v>0</v>
      </c>
      <c r="I6" s="33" t="e">
        <f ca="1">+'3.Tasks'!L4</f>
        <v>#N/A</v>
      </c>
      <c r="J6" s="33" t="e">
        <f ca="1">+'3.Tasks'!M4</f>
        <v>#N/A</v>
      </c>
      <c r="K6" s="33" t="e">
        <f ca="1">+'3.Tasks'!N4</f>
        <v>#N/A</v>
      </c>
      <c r="L6" s="33" t="e">
        <f ca="1">+'3.Tasks'!O4</f>
        <v>#N/A</v>
      </c>
      <c r="M6" s="33" t="e">
        <f ca="1">+'3.Tasks'!P4</f>
        <v>#N/A</v>
      </c>
      <c r="N6" s="33" t="e">
        <f ca="1">+'3.Tasks'!Q4</f>
        <v>#N/A</v>
      </c>
      <c r="O6" s="33" t="e">
        <f ca="1">+'3.Tasks'!R4</f>
        <v>#N/A</v>
      </c>
      <c r="P6" s="33" t="e">
        <f ca="1">+'3.Tasks'!S4</f>
        <v>#N/A</v>
      </c>
      <c r="Q6" s="33" t="e">
        <f ca="1">+'3.Tasks'!T4</f>
        <v>#N/A</v>
      </c>
      <c r="R6" s="34" t="e">
        <f ca="1">+'3.Tasks'!U4</f>
        <v>#N/A</v>
      </c>
      <c r="S6" s="35" t="e">
        <f ca="1">+'3.Tasks'!V4</f>
        <v>#N/A</v>
      </c>
      <c r="T6" s="33" t="e">
        <f ca="1">+'3.Tasks'!W4</f>
        <v>#N/A</v>
      </c>
      <c r="U6" s="33" t="e">
        <f ca="1">+'3.Tasks'!X4</f>
        <v>#N/A</v>
      </c>
      <c r="V6" s="33" t="e">
        <f ca="1">+'3.Tasks'!Y4</f>
        <v>#N/A</v>
      </c>
      <c r="W6" s="33" t="e">
        <f ca="1">+'3.Tasks'!Z4</f>
        <v>#N/A</v>
      </c>
      <c r="X6" s="33" t="e">
        <f ca="1">+'3.Tasks'!AA4</f>
        <v>#N/A</v>
      </c>
      <c r="Y6" s="33" t="e">
        <f ca="1">+'3.Tasks'!AB4</f>
        <v>#N/A</v>
      </c>
      <c r="Z6" s="33" t="e">
        <f ca="1">+'3.Tasks'!AC4</f>
        <v>#N/A</v>
      </c>
      <c r="AA6" s="33" t="e">
        <f ca="1">+'3.Tasks'!AD4</f>
        <v>#N/A</v>
      </c>
      <c r="AB6" s="33" t="e">
        <f ca="1">+'3.Tasks'!AE4</f>
        <v>#N/A</v>
      </c>
      <c r="AC6" s="33" t="e">
        <f ca="1">+'3.Tasks'!AF4</f>
        <v>#N/A</v>
      </c>
      <c r="AD6" s="34" t="e">
        <f ca="1">+'3.Tasks'!AG4</f>
        <v>#N/A</v>
      </c>
      <c r="AE6" s="35" t="e">
        <f ca="1">+'3.Tasks'!AH4</f>
        <v>#N/A</v>
      </c>
      <c r="AF6" s="33" t="e">
        <f ca="1">+'3.Tasks'!AI4</f>
        <v>#N/A</v>
      </c>
      <c r="AG6" s="33" t="e">
        <f ca="1">+'3.Tasks'!AJ4</f>
        <v>#N/A</v>
      </c>
      <c r="AH6" s="33" t="e">
        <f ca="1">+'3.Tasks'!AK4</f>
        <v>#N/A</v>
      </c>
      <c r="AI6" s="33" t="e">
        <f ca="1">+'3.Tasks'!AL4</f>
        <v>#N/A</v>
      </c>
      <c r="AJ6" s="33" t="e">
        <f ca="1">+'3.Tasks'!AM4</f>
        <v>#N/A</v>
      </c>
      <c r="AK6" s="33" t="e">
        <f ca="1">+'3.Tasks'!AN4</f>
        <v>#N/A</v>
      </c>
      <c r="AL6" s="33" t="e">
        <f ca="1">+'3.Tasks'!AO4</f>
        <v>#N/A</v>
      </c>
      <c r="AM6" s="33" t="e">
        <f ca="1">+'3.Tasks'!AP4</f>
        <v>#N/A</v>
      </c>
      <c r="AN6" s="33" t="e">
        <f ca="1">+'3.Tasks'!AQ4</f>
        <v>#N/A</v>
      </c>
      <c r="AO6" s="33" t="e">
        <f ca="1">+'3.Tasks'!AR4</f>
        <v>#N/A</v>
      </c>
      <c r="AP6" s="34" t="e">
        <f ca="1">+'3.Tasks'!AS4</f>
        <v>#N/A</v>
      </c>
      <c r="AQ6" s="35" t="e">
        <f ca="1">+'3.Tasks'!AT4</f>
        <v>#N/A</v>
      </c>
      <c r="AR6" s="33" t="e">
        <f ca="1">+'3.Tasks'!AU4</f>
        <v>#N/A</v>
      </c>
      <c r="AS6" s="33" t="e">
        <f ca="1">+'3.Tasks'!AV4</f>
        <v>#N/A</v>
      </c>
      <c r="AT6" s="33" t="e">
        <f ca="1">+'3.Tasks'!AW4</f>
        <v>#N/A</v>
      </c>
      <c r="AU6" s="33" t="e">
        <f ca="1">+'3.Tasks'!AX4</f>
        <v>#N/A</v>
      </c>
      <c r="AV6" s="33" t="e">
        <f ca="1">+'3.Tasks'!AY4</f>
        <v>#N/A</v>
      </c>
      <c r="AW6" s="33" t="e">
        <f ca="1">+'3.Tasks'!AZ4</f>
        <v>#N/A</v>
      </c>
      <c r="AX6" s="33" t="e">
        <f ca="1">+'3.Tasks'!BA4</f>
        <v>#N/A</v>
      </c>
      <c r="AY6" s="33" t="e">
        <f ca="1">+'3.Tasks'!BB4</f>
        <v>#N/A</v>
      </c>
      <c r="AZ6" s="33" t="e">
        <f ca="1">+'3.Tasks'!BC4</f>
        <v>#N/A</v>
      </c>
      <c r="BA6" s="33" t="e">
        <f ca="1">+'3.Tasks'!BD4</f>
        <v>#N/A</v>
      </c>
      <c r="BB6" s="34" t="e">
        <f ca="1">+'3.Tasks'!BE4</f>
        <v>#N/A</v>
      </c>
      <c r="BD6" s="265" t="str">
        <f>IF(SUMIF('4.Team'!$CG:$CG,'8.Timeline'!BD$5,'4.Team'!$BF:$BF)&gt;0,'8.Timeline'!BD$4,"")</f>
        <v/>
      </c>
      <c r="BE6" s="265" t="str">
        <f>IF(SUMIF('4.Team'!$CG:$CG,'8.Timeline'!BE$5,'4.Team'!$BF:$BF)&gt;0,'8.Timeline'!BE$4,"")</f>
        <v/>
      </c>
      <c r="BF6" s="265" t="str">
        <f>IF(SUMIF('4.Team'!$CG:$CG,'8.Timeline'!BF$5,'4.Team'!$BF:$BF)&gt;0,'8.Timeline'!BF$4,"")</f>
        <v/>
      </c>
      <c r="BG6" s="265" t="str">
        <f>IF(SUMIF('4.Team'!$CG:$CG,'8.Timeline'!BG$5,'4.Team'!$BF:$BF)&gt;0,'8.Timeline'!BG$4,"")</f>
        <v/>
      </c>
      <c r="BH6" s="265" t="str">
        <f>IF(SUMIF('4.Team'!$CG:$CG,'8.Timeline'!BH$5,'4.Team'!$BF:$BF)&gt;0,'8.Timeline'!BH$4,"")</f>
        <v/>
      </c>
      <c r="BI6" s="265" t="str">
        <f>IF(SUMIF('4.Team'!$CG:$CG,'8.Timeline'!BI$5,'4.Team'!$BF:$BF)&gt;0,'8.Timeline'!BI$4,"")</f>
        <v/>
      </c>
      <c r="BJ6" s="265" t="str">
        <f>IF(SUMIF('4.Team'!$CG:$CG,'8.Timeline'!BJ$5,'4.Team'!$BF:$BF)&gt;0,'8.Timeline'!BJ$4,"")</f>
        <v/>
      </c>
      <c r="BK6" s="265" t="str">
        <f>IF(SUMIF('4.Team'!$CG:$CG,'8.Timeline'!BK$5,'4.Team'!$BF:$BF)&gt;0,'8.Timeline'!BK$4,"")</f>
        <v/>
      </c>
      <c r="BL6" s="265" t="str">
        <f>IF(SUMIF('4.Team'!$CG:$CG,'8.Timeline'!BL$5,'4.Team'!$BF:$BF)&gt;0,'8.Timeline'!BL$4,"")</f>
        <v/>
      </c>
      <c r="BM6" s="265" t="str">
        <f>IF(SUMIF('4.Team'!$CG:$CG,'8.Timeline'!BM$5,'4.Team'!$BF:$BF)&gt;0,'8.Timeline'!BM$4,"")</f>
        <v/>
      </c>
      <c r="BN6" s="265" t="str">
        <f>IF(SUMIF('4.Team'!$CG:$CG,'8.Timeline'!BN$5,'4.Team'!$BF:$BF)&gt;0,'8.Timeline'!BN$4,"")</f>
        <v/>
      </c>
      <c r="BP6" s="36" t="str">
        <f>IF(C6=0,"",IF('4.Team'!$E$4="","",IF(E6="","Alert: Column E needs to be filled in",IF(F6="","Alert: This task has yet to be assigned to team members on the TEAM sheet",""))))</f>
        <v/>
      </c>
    </row>
    <row r="7" spans="1:68" s="36" customFormat="1" ht="23.4" customHeight="1">
      <c r="A7" s="36" t="s">
        <v>19</v>
      </c>
      <c r="B7" s="27">
        <v>2</v>
      </c>
      <c r="C7" s="28">
        <f>+'3.Tasks'!C5</f>
        <v>0</v>
      </c>
      <c r="D7" s="29">
        <f>+'4.Team'!BG31+'4.Team'!BG40+'4.Team'!BG49</f>
        <v>0</v>
      </c>
      <c r="E7" s="30"/>
      <c r="F7" s="31" t="str">
        <f>IF(C7=0,"NA",BD7&amp;BE7&amp;BF7&amp;BG7&amp;BH7&amp;BI7&amp;BJ7&amp;BK7&amp;BL7&amp;BM7&amp;BN7)</f>
        <v>NA</v>
      </c>
      <c r="G7" s="32">
        <f ca="1">+'3.Tasks'!J5</f>
        <v>0</v>
      </c>
      <c r="H7" s="33">
        <f ca="1">+'3.Tasks'!K5</f>
        <v>0</v>
      </c>
      <c r="I7" s="33" t="e">
        <f ca="1">+'3.Tasks'!L5</f>
        <v>#N/A</v>
      </c>
      <c r="J7" s="33" t="e">
        <f ca="1">+'3.Tasks'!M5</f>
        <v>#N/A</v>
      </c>
      <c r="K7" s="33" t="e">
        <f ca="1">+'3.Tasks'!N5</f>
        <v>#N/A</v>
      </c>
      <c r="L7" s="33" t="e">
        <f ca="1">+'3.Tasks'!O5</f>
        <v>#N/A</v>
      </c>
      <c r="M7" s="33" t="e">
        <f ca="1">+'3.Tasks'!P5</f>
        <v>#N/A</v>
      </c>
      <c r="N7" s="33" t="e">
        <f ca="1">+'3.Tasks'!Q5</f>
        <v>#N/A</v>
      </c>
      <c r="O7" s="33" t="e">
        <f ca="1">+'3.Tasks'!R5</f>
        <v>#N/A</v>
      </c>
      <c r="P7" s="33" t="e">
        <f ca="1">+'3.Tasks'!S5</f>
        <v>#N/A</v>
      </c>
      <c r="Q7" s="33" t="e">
        <f ca="1">+'3.Tasks'!T5</f>
        <v>#N/A</v>
      </c>
      <c r="R7" s="34" t="e">
        <f ca="1">+'3.Tasks'!U5</f>
        <v>#N/A</v>
      </c>
      <c r="S7" s="35" t="e">
        <f ca="1">+'3.Tasks'!V5</f>
        <v>#N/A</v>
      </c>
      <c r="T7" s="33" t="e">
        <f ca="1">+'3.Tasks'!W5</f>
        <v>#N/A</v>
      </c>
      <c r="U7" s="33" t="e">
        <f ca="1">+'3.Tasks'!X5</f>
        <v>#N/A</v>
      </c>
      <c r="V7" s="33" t="e">
        <f ca="1">+'3.Tasks'!Y5</f>
        <v>#N/A</v>
      </c>
      <c r="W7" s="33" t="e">
        <f ca="1">+'3.Tasks'!Z5</f>
        <v>#N/A</v>
      </c>
      <c r="X7" s="33" t="e">
        <f ca="1">+'3.Tasks'!AA5</f>
        <v>#N/A</v>
      </c>
      <c r="Y7" s="33" t="e">
        <f ca="1">+'3.Tasks'!AB5</f>
        <v>#N/A</v>
      </c>
      <c r="Z7" s="33" t="e">
        <f ca="1">+'3.Tasks'!AC5</f>
        <v>#N/A</v>
      </c>
      <c r="AA7" s="33" t="e">
        <f ca="1">+'3.Tasks'!AD5</f>
        <v>#N/A</v>
      </c>
      <c r="AB7" s="33" t="e">
        <f ca="1">+'3.Tasks'!AE5</f>
        <v>#N/A</v>
      </c>
      <c r="AC7" s="33" t="e">
        <f ca="1">+'3.Tasks'!AF5</f>
        <v>#N/A</v>
      </c>
      <c r="AD7" s="34" t="e">
        <f ca="1">+'3.Tasks'!AG5</f>
        <v>#N/A</v>
      </c>
      <c r="AE7" s="35" t="e">
        <f ca="1">+'3.Tasks'!AH5</f>
        <v>#N/A</v>
      </c>
      <c r="AF7" s="33" t="e">
        <f ca="1">+'3.Tasks'!AI5</f>
        <v>#N/A</v>
      </c>
      <c r="AG7" s="33" t="e">
        <f ca="1">+'3.Tasks'!AJ5</f>
        <v>#N/A</v>
      </c>
      <c r="AH7" s="33" t="e">
        <f ca="1">+'3.Tasks'!AK5</f>
        <v>#N/A</v>
      </c>
      <c r="AI7" s="33" t="e">
        <f ca="1">+'3.Tasks'!AL5</f>
        <v>#N/A</v>
      </c>
      <c r="AJ7" s="33" t="e">
        <f ca="1">+'3.Tasks'!AM5</f>
        <v>#N/A</v>
      </c>
      <c r="AK7" s="33" t="e">
        <f ca="1">+'3.Tasks'!AN5</f>
        <v>#N/A</v>
      </c>
      <c r="AL7" s="33" t="e">
        <f ca="1">+'3.Tasks'!AO5</f>
        <v>#N/A</v>
      </c>
      <c r="AM7" s="33" t="e">
        <f ca="1">+'3.Tasks'!AP5</f>
        <v>#N/A</v>
      </c>
      <c r="AN7" s="33" t="e">
        <f ca="1">+'3.Tasks'!AQ5</f>
        <v>#N/A</v>
      </c>
      <c r="AO7" s="33" t="e">
        <f ca="1">+'3.Tasks'!AR5</f>
        <v>#N/A</v>
      </c>
      <c r="AP7" s="34" t="e">
        <f ca="1">+'3.Tasks'!AS5</f>
        <v>#N/A</v>
      </c>
      <c r="AQ7" s="35" t="e">
        <f ca="1">+'3.Tasks'!AT5</f>
        <v>#N/A</v>
      </c>
      <c r="AR7" s="33" t="e">
        <f ca="1">+'3.Tasks'!AU5</f>
        <v>#N/A</v>
      </c>
      <c r="AS7" s="33" t="e">
        <f ca="1">+'3.Tasks'!AV5</f>
        <v>#N/A</v>
      </c>
      <c r="AT7" s="33" t="e">
        <f ca="1">+'3.Tasks'!AW5</f>
        <v>#N/A</v>
      </c>
      <c r="AU7" s="33" t="e">
        <f ca="1">+'3.Tasks'!AX5</f>
        <v>#N/A</v>
      </c>
      <c r="AV7" s="33" t="e">
        <f ca="1">+'3.Tasks'!AY5</f>
        <v>#N/A</v>
      </c>
      <c r="AW7" s="33" t="e">
        <f ca="1">+'3.Tasks'!AZ5</f>
        <v>#N/A</v>
      </c>
      <c r="AX7" s="33" t="e">
        <f ca="1">+'3.Tasks'!BA5</f>
        <v>#N/A</v>
      </c>
      <c r="AY7" s="33" t="e">
        <f ca="1">+'3.Tasks'!BB5</f>
        <v>#N/A</v>
      </c>
      <c r="AZ7" s="33" t="e">
        <f ca="1">+'3.Tasks'!BC5</f>
        <v>#N/A</v>
      </c>
      <c r="BA7" s="33" t="e">
        <f ca="1">+'3.Tasks'!BD5</f>
        <v>#N/A</v>
      </c>
      <c r="BB7" s="34" t="e">
        <f ca="1">+'3.Tasks'!BE5</f>
        <v>#N/A</v>
      </c>
      <c r="BD7" s="265" t="str">
        <f>IF(SUMIF('4.Team'!$CG:$CG,'8.Timeline'!BD$5,'4.Team'!$BG:$BG)&gt;0,'8.Timeline'!BD$4,"")</f>
        <v/>
      </c>
      <c r="BE7" s="265" t="str">
        <f>IF(SUMIF('4.Team'!$CG:$CG,'8.Timeline'!BE$5,'4.Team'!$BG:$BG)&gt;0,'8.Timeline'!BE$4,"")</f>
        <v/>
      </c>
      <c r="BF7" s="265" t="str">
        <f>IF(SUMIF('4.Team'!$CG:$CG,'8.Timeline'!BF$5,'4.Team'!$BG:$BG)&gt;0,'8.Timeline'!BF$4,"")</f>
        <v/>
      </c>
      <c r="BG7" s="265" t="str">
        <f>IF(SUMIF('4.Team'!$CG:$CG,'8.Timeline'!BG$5,'4.Team'!$BG:$BG)&gt;0,'8.Timeline'!BG$4,"")</f>
        <v/>
      </c>
      <c r="BH7" s="265" t="str">
        <f>IF(SUMIF('4.Team'!$CG:$CG,'8.Timeline'!BH$5,'4.Team'!$BG:$BG)&gt;0,'8.Timeline'!BH$4,"")</f>
        <v/>
      </c>
      <c r="BI7" s="265" t="str">
        <f>IF(SUMIF('4.Team'!$CG:$CG,'8.Timeline'!BI$5,'4.Team'!$BG:$BG)&gt;0,'8.Timeline'!BI$4,"")</f>
        <v/>
      </c>
      <c r="BJ7" s="265" t="str">
        <f>IF(SUMIF('4.Team'!$CG:$CG,'8.Timeline'!BJ$5,'4.Team'!$BG:$BG)&gt;0,'8.Timeline'!BJ$4,"")</f>
        <v/>
      </c>
      <c r="BK7" s="265" t="str">
        <f>IF(SUMIF('4.Team'!$CG:$CG,'8.Timeline'!BK$5,'4.Team'!$BG:$BG)&gt;0,'8.Timeline'!BK$4,"")</f>
        <v/>
      </c>
      <c r="BL7" s="265" t="str">
        <f>IF(SUMIF('4.Team'!$CG:$CG,'8.Timeline'!BL$5,'4.Team'!$BG:$BG)&gt;0,'8.Timeline'!BL$4,"")</f>
        <v/>
      </c>
      <c r="BM7" s="265" t="str">
        <f>IF(SUMIF('4.Team'!$CG:$CG,'8.Timeline'!BM$5,'4.Team'!$BG:$BG)&gt;0,'8.Timeline'!BM$4,"")</f>
        <v/>
      </c>
      <c r="BN7" s="265" t="str">
        <f>IF(SUMIF('4.Team'!$CG:$CG,'8.Timeline'!BN$5,'4.Team'!$BG:$BG)&gt;0,'8.Timeline'!BN$4,"")</f>
        <v/>
      </c>
      <c r="BP7" s="36" t="str">
        <f>IF(C7=0,"",IF('4.Team'!$E$4="","",IF(E7="","Alert: Column E needs to be filled in",IF(F7="","Alert: This task has yet to be assigned to team members on the TEAM sheet",""))))</f>
        <v/>
      </c>
    </row>
    <row r="8" spans="1:68" s="36" customFormat="1" ht="23.4" customHeight="1">
      <c r="A8" s="36" t="s">
        <v>20</v>
      </c>
      <c r="B8" s="27">
        <v>3</v>
      </c>
      <c r="C8" s="28">
        <f>+'3.Tasks'!C6</f>
        <v>0</v>
      </c>
      <c r="D8" s="29">
        <f>+'4.Team'!BH31+'4.Team'!BH40+'4.Team'!BH49</f>
        <v>0</v>
      </c>
      <c r="E8" s="30"/>
      <c r="F8" s="31" t="str">
        <f t="shared" ref="F8:F25" si="3">IF(C8=0,"NA",BD8&amp;BE8&amp;BF8&amp;BG8&amp;BH8&amp;BI8&amp;BJ8&amp;BK8&amp;BL8&amp;BM8&amp;BN8)</f>
        <v>NA</v>
      </c>
      <c r="G8" s="32">
        <f ca="1">+'3.Tasks'!J6</f>
        <v>0</v>
      </c>
      <c r="H8" s="33">
        <f ca="1">+'3.Tasks'!K6</f>
        <v>0</v>
      </c>
      <c r="I8" s="33" t="e">
        <f ca="1">+'3.Tasks'!L6</f>
        <v>#N/A</v>
      </c>
      <c r="J8" s="33" t="e">
        <f ca="1">+'3.Tasks'!M6</f>
        <v>#N/A</v>
      </c>
      <c r="K8" s="33" t="e">
        <f ca="1">+'3.Tasks'!N6</f>
        <v>#N/A</v>
      </c>
      <c r="L8" s="33" t="e">
        <f ca="1">+'3.Tasks'!O6</f>
        <v>#N/A</v>
      </c>
      <c r="M8" s="33" t="e">
        <f ca="1">+'3.Tasks'!P6</f>
        <v>#N/A</v>
      </c>
      <c r="N8" s="33" t="e">
        <f ca="1">+'3.Tasks'!Q6</f>
        <v>#N/A</v>
      </c>
      <c r="O8" s="33" t="e">
        <f ca="1">+'3.Tasks'!R6</f>
        <v>#N/A</v>
      </c>
      <c r="P8" s="33" t="e">
        <f ca="1">+'3.Tasks'!S6</f>
        <v>#N/A</v>
      </c>
      <c r="Q8" s="33" t="e">
        <f ca="1">+'3.Tasks'!T6</f>
        <v>#N/A</v>
      </c>
      <c r="R8" s="34" t="e">
        <f ca="1">+'3.Tasks'!U6</f>
        <v>#N/A</v>
      </c>
      <c r="S8" s="35" t="e">
        <f ca="1">+'3.Tasks'!V6</f>
        <v>#N/A</v>
      </c>
      <c r="T8" s="33" t="e">
        <f ca="1">+'3.Tasks'!W6</f>
        <v>#N/A</v>
      </c>
      <c r="U8" s="33" t="e">
        <f ca="1">+'3.Tasks'!X6</f>
        <v>#N/A</v>
      </c>
      <c r="V8" s="33" t="e">
        <f ca="1">+'3.Tasks'!Y6</f>
        <v>#N/A</v>
      </c>
      <c r="W8" s="33" t="e">
        <f ca="1">+'3.Tasks'!Z6</f>
        <v>#N/A</v>
      </c>
      <c r="X8" s="33" t="e">
        <f ca="1">+'3.Tasks'!AA6</f>
        <v>#N/A</v>
      </c>
      <c r="Y8" s="33" t="e">
        <f ca="1">+'3.Tasks'!AB6</f>
        <v>#N/A</v>
      </c>
      <c r="Z8" s="33" t="e">
        <f ca="1">+'3.Tasks'!AC6</f>
        <v>#N/A</v>
      </c>
      <c r="AA8" s="33" t="e">
        <f ca="1">+'3.Tasks'!AD6</f>
        <v>#N/A</v>
      </c>
      <c r="AB8" s="33" t="e">
        <f ca="1">+'3.Tasks'!AE6</f>
        <v>#N/A</v>
      </c>
      <c r="AC8" s="33" t="e">
        <f ca="1">+'3.Tasks'!AF6</f>
        <v>#N/A</v>
      </c>
      <c r="AD8" s="34" t="e">
        <f ca="1">+'3.Tasks'!AG6</f>
        <v>#N/A</v>
      </c>
      <c r="AE8" s="35" t="e">
        <f ca="1">+'3.Tasks'!AH6</f>
        <v>#N/A</v>
      </c>
      <c r="AF8" s="33" t="e">
        <f ca="1">+'3.Tasks'!AI6</f>
        <v>#N/A</v>
      </c>
      <c r="AG8" s="33" t="e">
        <f ca="1">+'3.Tasks'!AJ6</f>
        <v>#N/A</v>
      </c>
      <c r="AH8" s="33" t="e">
        <f ca="1">+'3.Tasks'!AK6</f>
        <v>#N/A</v>
      </c>
      <c r="AI8" s="33" t="e">
        <f ca="1">+'3.Tasks'!AL6</f>
        <v>#N/A</v>
      </c>
      <c r="AJ8" s="33" t="e">
        <f ca="1">+'3.Tasks'!AM6</f>
        <v>#N/A</v>
      </c>
      <c r="AK8" s="33" t="e">
        <f ca="1">+'3.Tasks'!AN6</f>
        <v>#N/A</v>
      </c>
      <c r="AL8" s="33" t="e">
        <f ca="1">+'3.Tasks'!AO6</f>
        <v>#N/A</v>
      </c>
      <c r="AM8" s="33" t="e">
        <f ca="1">+'3.Tasks'!AP6</f>
        <v>#N/A</v>
      </c>
      <c r="AN8" s="33" t="e">
        <f ca="1">+'3.Tasks'!AQ6</f>
        <v>#N/A</v>
      </c>
      <c r="AO8" s="33" t="e">
        <f ca="1">+'3.Tasks'!AR6</f>
        <v>#N/A</v>
      </c>
      <c r="AP8" s="34" t="e">
        <f ca="1">+'3.Tasks'!AS6</f>
        <v>#N/A</v>
      </c>
      <c r="AQ8" s="35" t="e">
        <f ca="1">+'3.Tasks'!AT6</f>
        <v>#N/A</v>
      </c>
      <c r="AR8" s="33" t="e">
        <f ca="1">+'3.Tasks'!AU6</f>
        <v>#N/A</v>
      </c>
      <c r="AS8" s="33" t="e">
        <f ca="1">+'3.Tasks'!AV6</f>
        <v>#N/A</v>
      </c>
      <c r="AT8" s="33" t="e">
        <f ca="1">+'3.Tasks'!AW6</f>
        <v>#N/A</v>
      </c>
      <c r="AU8" s="33" t="e">
        <f ca="1">+'3.Tasks'!AX6</f>
        <v>#N/A</v>
      </c>
      <c r="AV8" s="33" t="e">
        <f ca="1">+'3.Tasks'!AY6</f>
        <v>#N/A</v>
      </c>
      <c r="AW8" s="33" t="e">
        <f ca="1">+'3.Tasks'!AZ6</f>
        <v>#N/A</v>
      </c>
      <c r="AX8" s="33" t="e">
        <f ca="1">+'3.Tasks'!BA6</f>
        <v>#N/A</v>
      </c>
      <c r="AY8" s="33" t="e">
        <f ca="1">+'3.Tasks'!BB6</f>
        <v>#N/A</v>
      </c>
      <c r="AZ8" s="33" t="e">
        <f ca="1">+'3.Tasks'!BC6</f>
        <v>#N/A</v>
      </c>
      <c r="BA8" s="33" t="e">
        <f ca="1">+'3.Tasks'!BD6</f>
        <v>#N/A</v>
      </c>
      <c r="BB8" s="34" t="e">
        <f ca="1">+'3.Tasks'!BE6</f>
        <v>#N/A</v>
      </c>
      <c r="BD8" s="265" t="str">
        <f>IF(SUMIF('4.Team'!$CG:$CG,'8.Timeline'!BD$5,'4.Team'!$BH:$BH)&gt;0,'8.Timeline'!BD$4,"")</f>
        <v/>
      </c>
      <c r="BE8" s="265" t="str">
        <f>IF(SUMIF('4.Team'!$CG:$CG,'8.Timeline'!BE$5,'4.Team'!$BH:$BH)&gt;0,'8.Timeline'!BE$4,"")</f>
        <v/>
      </c>
      <c r="BF8" s="265" t="str">
        <f>IF(SUMIF('4.Team'!$CG:$CG,'8.Timeline'!BF$5,'4.Team'!$BH:$BH)&gt;0,'8.Timeline'!BF$4,"")</f>
        <v/>
      </c>
      <c r="BG8" s="265" t="str">
        <f>IF(SUMIF('4.Team'!$CG:$CG,'8.Timeline'!BG$5,'4.Team'!$BH:$BH)&gt;0,'8.Timeline'!BG$4,"")</f>
        <v/>
      </c>
      <c r="BH8" s="265" t="str">
        <f>IF(SUMIF('4.Team'!$CG:$CG,'8.Timeline'!BH$5,'4.Team'!$BH:$BH)&gt;0,'8.Timeline'!BH$4,"")</f>
        <v/>
      </c>
      <c r="BI8" s="265" t="str">
        <f>IF(SUMIF('4.Team'!$CG:$CG,'8.Timeline'!BI$5,'4.Team'!$BH:$BH)&gt;0,'8.Timeline'!BI$4,"")</f>
        <v/>
      </c>
      <c r="BJ8" s="265" t="str">
        <f>IF(SUMIF('4.Team'!$CG:$CG,'8.Timeline'!BJ$5,'4.Team'!$BH:$BH)&gt;0,'8.Timeline'!BJ$4,"")</f>
        <v/>
      </c>
      <c r="BK8" s="265" t="str">
        <f>IF(SUMIF('4.Team'!$CG:$CG,'8.Timeline'!BK$5,'4.Team'!$BH:$BH)&gt;0,'8.Timeline'!BK$4,"")</f>
        <v/>
      </c>
      <c r="BL8" s="265" t="str">
        <f>IF(SUMIF('4.Team'!$CG:$CG,'8.Timeline'!BL$5,'4.Team'!$BH:$BH)&gt;0,'8.Timeline'!BL$4,"")</f>
        <v/>
      </c>
      <c r="BM8" s="265" t="str">
        <f>IF(SUMIF('4.Team'!$CG:$CG,'8.Timeline'!BM$5,'4.Team'!$BH:$BH)&gt;0,'8.Timeline'!BM$4,"")</f>
        <v/>
      </c>
      <c r="BN8" s="265" t="str">
        <f>IF(SUMIF('4.Team'!$CG:$CG,'8.Timeline'!BN$5,'4.Team'!$BH:$BH)&gt;0,'8.Timeline'!BN$4,"")</f>
        <v/>
      </c>
      <c r="BP8" s="36" t="str">
        <f>IF(C8=0,"",IF('4.Team'!$E$4="","",IF(E8="","Alert: Column E needs to be filled in",IF(F8="","Alert: This task has yet to be assigned to team members on the TEAM sheet",""))))</f>
        <v/>
      </c>
    </row>
    <row r="9" spans="1:68" s="36" customFormat="1" ht="23.4" customHeight="1">
      <c r="A9" s="36" t="s">
        <v>21</v>
      </c>
      <c r="B9" s="27">
        <v>4</v>
      </c>
      <c r="C9" s="28">
        <f>+'3.Tasks'!C7</f>
        <v>0</v>
      </c>
      <c r="D9" s="29">
        <f>+'4.Team'!BI31+'4.Team'!BI40+'4.Team'!BI49</f>
        <v>0</v>
      </c>
      <c r="E9" s="30"/>
      <c r="F9" s="31" t="str">
        <f t="shared" si="3"/>
        <v>NA</v>
      </c>
      <c r="G9" s="32">
        <f ca="1">+'3.Tasks'!J7</f>
        <v>0</v>
      </c>
      <c r="H9" s="33">
        <f ca="1">+'3.Tasks'!K7</f>
        <v>0</v>
      </c>
      <c r="I9" s="33" t="e">
        <f ca="1">+'3.Tasks'!L7</f>
        <v>#N/A</v>
      </c>
      <c r="J9" s="33" t="e">
        <f ca="1">+'3.Tasks'!M7</f>
        <v>#N/A</v>
      </c>
      <c r="K9" s="33" t="e">
        <f ca="1">+'3.Tasks'!N7</f>
        <v>#N/A</v>
      </c>
      <c r="L9" s="33" t="e">
        <f ca="1">+'3.Tasks'!O7</f>
        <v>#N/A</v>
      </c>
      <c r="M9" s="33" t="e">
        <f ca="1">+'3.Tasks'!P7</f>
        <v>#N/A</v>
      </c>
      <c r="N9" s="33" t="e">
        <f ca="1">+'3.Tasks'!Q7</f>
        <v>#N/A</v>
      </c>
      <c r="O9" s="33" t="e">
        <f ca="1">+'3.Tasks'!R7</f>
        <v>#N/A</v>
      </c>
      <c r="P9" s="33" t="e">
        <f ca="1">+'3.Tasks'!S7</f>
        <v>#N/A</v>
      </c>
      <c r="Q9" s="33" t="e">
        <f ca="1">+'3.Tasks'!T7</f>
        <v>#N/A</v>
      </c>
      <c r="R9" s="34" t="e">
        <f ca="1">+'3.Tasks'!U7</f>
        <v>#N/A</v>
      </c>
      <c r="S9" s="35" t="e">
        <f ca="1">+'3.Tasks'!V7</f>
        <v>#N/A</v>
      </c>
      <c r="T9" s="33" t="e">
        <f ca="1">+'3.Tasks'!W7</f>
        <v>#N/A</v>
      </c>
      <c r="U9" s="33" t="e">
        <f ca="1">+'3.Tasks'!X7</f>
        <v>#N/A</v>
      </c>
      <c r="V9" s="33" t="e">
        <f ca="1">+'3.Tasks'!Y7</f>
        <v>#N/A</v>
      </c>
      <c r="W9" s="33" t="e">
        <f ca="1">+'3.Tasks'!Z7</f>
        <v>#N/A</v>
      </c>
      <c r="X9" s="33" t="e">
        <f ca="1">+'3.Tasks'!AA7</f>
        <v>#N/A</v>
      </c>
      <c r="Y9" s="33" t="e">
        <f ca="1">+'3.Tasks'!AB7</f>
        <v>#N/A</v>
      </c>
      <c r="Z9" s="33" t="e">
        <f ca="1">+'3.Tasks'!AC7</f>
        <v>#N/A</v>
      </c>
      <c r="AA9" s="33" t="e">
        <f ca="1">+'3.Tasks'!AD7</f>
        <v>#N/A</v>
      </c>
      <c r="AB9" s="33" t="e">
        <f ca="1">+'3.Tasks'!AE7</f>
        <v>#N/A</v>
      </c>
      <c r="AC9" s="33" t="e">
        <f ca="1">+'3.Tasks'!AF7</f>
        <v>#N/A</v>
      </c>
      <c r="AD9" s="34" t="e">
        <f ca="1">+'3.Tasks'!AG7</f>
        <v>#N/A</v>
      </c>
      <c r="AE9" s="35" t="e">
        <f ca="1">+'3.Tasks'!AH7</f>
        <v>#N/A</v>
      </c>
      <c r="AF9" s="33" t="e">
        <f ca="1">+'3.Tasks'!AI7</f>
        <v>#N/A</v>
      </c>
      <c r="AG9" s="33" t="e">
        <f ca="1">+'3.Tasks'!AJ7</f>
        <v>#N/A</v>
      </c>
      <c r="AH9" s="33" t="e">
        <f ca="1">+'3.Tasks'!AK7</f>
        <v>#N/A</v>
      </c>
      <c r="AI9" s="33" t="e">
        <f ca="1">+'3.Tasks'!AL7</f>
        <v>#N/A</v>
      </c>
      <c r="AJ9" s="33" t="e">
        <f ca="1">+'3.Tasks'!AM7</f>
        <v>#N/A</v>
      </c>
      <c r="AK9" s="33" t="e">
        <f ca="1">+'3.Tasks'!AN7</f>
        <v>#N/A</v>
      </c>
      <c r="AL9" s="33" t="e">
        <f ca="1">+'3.Tasks'!AO7</f>
        <v>#N/A</v>
      </c>
      <c r="AM9" s="33" t="e">
        <f ca="1">+'3.Tasks'!AP7</f>
        <v>#N/A</v>
      </c>
      <c r="AN9" s="33" t="e">
        <f ca="1">+'3.Tasks'!AQ7</f>
        <v>#N/A</v>
      </c>
      <c r="AO9" s="33" t="e">
        <f ca="1">+'3.Tasks'!AR7</f>
        <v>#N/A</v>
      </c>
      <c r="AP9" s="34" t="e">
        <f ca="1">+'3.Tasks'!AS7</f>
        <v>#N/A</v>
      </c>
      <c r="AQ9" s="35" t="e">
        <f ca="1">+'3.Tasks'!AT7</f>
        <v>#N/A</v>
      </c>
      <c r="AR9" s="33" t="e">
        <f ca="1">+'3.Tasks'!AU7</f>
        <v>#N/A</v>
      </c>
      <c r="AS9" s="33" t="e">
        <f ca="1">+'3.Tasks'!AV7</f>
        <v>#N/A</v>
      </c>
      <c r="AT9" s="33" t="e">
        <f ca="1">+'3.Tasks'!AW7</f>
        <v>#N/A</v>
      </c>
      <c r="AU9" s="33" t="e">
        <f ca="1">+'3.Tasks'!AX7</f>
        <v>#N/A</v>
      </c>
      <c r="AV9" s="33" t="e">
        <f ca="1">+'3.Tasks'!AY7</f>
        <v>#N/A</v>
      </c>
      <c r="AW9" s="33" t="e">
        <f ca="1">+'3.Tasks'!AZ7</f>
        <v>#N/A</v>
      </c>
      <c r="AX9" s="33" t="e">
        <f ca="1">+'3.Tasks'!BA7</f>
        <v>#N/A</v>
      </c>
      <c r="AY9" s="33" t="e">
        <f ca="1">+'3.Tasks'!BB7</f>
        <v>#N/A</v>
      </c>
      <c r="AZ9" s="33" t="e">
        <f ca="1">+'3.Tasks'!BC7</f>
        <v>#N/A</v>
      </c>
      <c r="BA9" s="33" t="e">
        <f ca="1">+'3.Tasks'!BD7</f>
        <v>#N/A</v>
      </c>
      <c r="BB9" s="34" t="e">
        <f ca="1">+'3.Tasks'!BE7</f>
        <v>#N/A</v>
      </c>
      <c r="BD9" s="265" t="str">
        <f>IF(SUMIF('4.Team'!$CG:$CG,'8.Timeline'!BD$5,'4.Team'!$BI:$BI)&gt;0,'8.Timeline'!BD$4,"")</f>
        <v/>
      </c>
      <c r="BE9" s="265" t="str">
        <f>IF(SUMIF('4.Team'!$CG:$CG,'8.Timeline'!BE$5,'4.Team'!$BI:$BI)&gt;0,'8.Timeline'!BE$4,"")</f>
        <v/>
      </c>
      <c r="BF9" s="265" t="str">
        <f>IF(SUMIF('4.Team'!$CG:$CG,'8.Timeline'!BF$5,'4.Team'!$BI:$BI)&gt;0,'8.Timeline'!BF$4,"")</f>
        <v/>
      </c>
      <c r="BG9" s="265" t="str">
        <f>IF(SUMIF('4.Team'!$CG:$CG,'8.Timeline'!BG$5,'4.Team'!$BI:$BI)&gt;0,'8.Timeline'!BG$4,"")</f>
        <v/>
      </c>
      <c r="BH9" s="265" t="str">
        <f>IF(SUMIF('4.Team'!$CG:$CG,'8.Timeline'!BH$5,'4.Team'!$BI:$BI)&gt;0,'8.Timeline'!BH$4,"")</f>
        <v/>
      </c>
      <c r="BI9" s="265" t="str">
        <f>IF(SUMIF('4.Team'!$CG:$CG,'8.Timeline'!BI$5,'4.Team'!$BI:$BI)&gt;0,'8.Timeline'!BI$4,"")</f>
        <v/>
      </c>
      <c r="BJ9" s="265" t="str">
        <f>IF(SUMIF('4.Team'!$CG:$CG,'8.Timeline'!BJ$5,'4.Team'!$BI:$BI)&gt;0,'8.Timeline'!BJ$4,"")</f>
        <v/>
      </c>
      <c r="BK9" s="265" t="str">
        <f>IF(SUMIF('4.Team'!$CG:$CG,'8.Timeline'!BK$5,'4.Team'!$BI:$BI)&gt;0,'8.Timeline'!BK$4,"")</f>
        <v/>
      </c>
      <c r="BL9" s="265" t="str">
        <f>IF(SUMIF('4.Team'!$CG:$CG,'8.Timeline'!BL$5,'4.Team'!$BI:$BI)&gt;0,'8.Timeline'!BL$4,"")</f>
        <v/>
      </c>
      <c r="BM9" s="265" t="str">
        <f>IF(SUMIF('4.Team'!$CG:$CG,'8.Timeline'!BM$5,'4.Team'!$BI:$BI)&gt;0,'8.Timeline'!BM$4,"")</f>
        <v/>
      </c>
      <c r="BN9" s="265" t="str">
        <f>IF(SUMIF('4.Team'!$CG:$CG,'8.Timeline'!BN$5,'4.Team'!$BI:$BI)&gt;0,'8.Timeline'!BN$4,"")</f>
        <v/>
      </c>
      <c r="BP9" s="36" t="str">
        <f>IF(C9=0,"",IF('4.Team'!$E$4="","",IF(E9="","Alert: Column E needs to be filled in",IF(F9="","Alert: This task has yet to be assigned to team members on the TEAM sheet",""))))</f>
        <v/>
      </c>
    </row>
    <row r="10" spans="1:68" s="36" customFormat="1" ht="23.4" customHeight="1">
      <c r="A10" s="36" t="s">
        <v>22</v>
      </c>
      <c r="B10" s="27">
        <v>5</v>
      </c>
      <c r="C10" s="28">
        <f>+'3.Tasks'!C8</f>
        <v>0</v>
      </c>
      <c r="D10" s="29">
        <f>+'4.Team'!BJ31+'4.Team'!BJ40+'4.Team'!BJ49</f>
        <v>0</v>
      </c>
      <c r="E10" s="30"/>
      <c r="F10" s="31" t="str">
        <f t="shared" si="3"/>
        <v>NA</v>
      </c>
      <c r="G10" s="32">
        <f ca="1">+'3.Tasks'!J8</f>
        <v>0</v>
      </c>
      <c r="H10" s="33">
        <f ca="1">+'3.Tasks'!K8</f>
        <v>0</v>
      </c>
      <c r="I10" s="33" t="e">
        <f ca="1">+'3.Tasks'!L8</f>
        <v>#N/A</v>
      </c>
      <c r="J10" s="33" t="e">
        <f ca="1">+'3.Tasks'!M8</f>
        <v>#N/A</v>
      </c>
      <c r="K10" s="33" t="e">
        <f ca="1">+'3.Tasks'!N8</f>
        <v>#N/A</v>
      </c>
      <c r="L10" s="33" t="e">
        <f ca="1">+'3.Tasks'!O8</f>
        <v>#N/A</v>
      </c>
      <c r="M10" s="33" t="e">
        <f ca="1">+'3.Tasks'!P8</f>
        <v>#N/A</v>
      </c>
      <c r="N10" s="33" t="e">
        <f ca="1">+'3.Tasks'!Q8</f>
        <v>#N/A</v>
      </c>
      <c r="O10" s="33" t="e">
        <f ca="1">+'3.Tasks'!R8</f>
        <v>#N/A</v>
      </c>
      <c r="P10" s="33" t="e">
        <f ca="1">+'3.Tasks'!S8</f>
        <v>#N/A</v>
      </c>
      <c r="Q10" s="33" t="e">
        <f ca="1">+'3.Tasks'!T8</f>
        <v>#N/A</v>
      </c>
      <c r="R10" s="34" t="e">
        <f ca="1">+'3.Tasks'!U8</f>
        <v>#N/A</v>
      </c>
      <c r="S10" s="35" t="e">
        <f ca="1">+'3.Tasks'!V8</f>
        <v>#N/A</v>
      </c>
      <c r="T10" s="33" t="e">
        <f ca="1">+'3.Tasks'!W8</f>
        <v>#N/A</v>
      </c>
      <c r="U10" s="33" t="e">
        <f ca="1">+'3.Tasks'!X8</f>
        <v>#N/A</v>
      </c>
      <c r="V10" s="33" t="e">
        <f ca="1">+'3.Tasks'!Y8</f>
        <v>#N/A</v>
      </c>
      <c r="W10" s="33" t="e">
        <f ca="1">+'3.Tasks'!Z8</f>
        <v>#N/A</v>
      </c>
      <c r="X10" s="33" t="e">
        <f ca="1">+'3.Tasks'!AA8</f>
        <v>#N/A</v>
      </c>
      <c r="Y10" s="33" t="e">
        <f ca="1">+'3.Tasks'!AB8</f>
        <v>#N/A</v>
      </c>
      <c r="Z10" s="33" t="e">
        <f ca="1">+'3.Tasks'!AC8</f>
        <v>#N/A</v>
      </c>
      <c r="AA10" s="33" t="e">
        <f ca="1">+'3.Tasks'!AD8</f>
        <v>#N/A</v>
      </c>
      <c r="AB10" s="33" t="e">
        <f ca="1">+'3.Tasks'!AE8</f>
        <v>#N/A</v>
      </c>
      <c r="AC10" s="33" t="e">
        <f ca="1">+'3.Tasks'!AF8</f>
        <v>#N/A</v>
      </c>
      <c r="AD10" s="34" t="e">
        <f ca="1">+'3.Tasks'!AG8</f>
        <v>#N/A</v>
      </c>
      <c r="AE10" s="35" t="e">
        <f ca="1">+'3.Tasks'!AH8</f>
        <v>#N/A</v>
      </c>
      <c r="AF10" s="33" t="e">
        <f ca="1">+'3.Tasks'!AI8</f>
        <v>#N/A</v>
      </c>
      <c r="AG10" s="33" t="e">
        <f ca="1">+'3.Tasks'!AJ8</f>
        <v>#N/A</v>
      </c>
      <c r="AH10" s="33" t="e">
        <f ca="1">+'3.Tasks'!AK8</f>
        <v>#N/A</v>
      </c>
      <c r="AI10" s="33" t="e">
        <f ca="1">+'3.Tasks'!AL8</f>
        <v>#N/A</v>
      </c>
      <c r="AJ10" s="33" t="e">
        <f ca="1">+'3.Tasks'!AM8</f>
        <v>#N/A</v>
      </c>
      <c r="AK10" s="33" t="e">
        <f ca="1">+'3.Tasks'!AN8</f>
        <v>#N/A</v>
      </c>
      <c r="AL10" s="33" t="e">
        <f ca="1">+'3.Tasks'!AO8</f>
        <v>#N/A</v>
      </c>
      <c r="AM10" s="33" t="e">
        <f ca="1">+'3.Tasks'!AP8</f>
        <v>#N/A</v>
      </c>
      <c r="AN10" s="33" t="e">
        <f ca="1">+'3.Tasks'!AQ8</f>
        <v>#N/A</v>
      </c>
      <c r="AO10" s="33" t="e">
        <f ca="1">+'3.Tasks'!AR8</f>
        <v>#N/A</v>
      </c>
      <c r="AP10" s="34" t="e">
        <f ca="1">+'3.Tasks'!AS8</f>
        <v>#N/A</v>
      </c>
      <c r="AQ10" s="35" t="e">
        <f ca="1">+'3.Tasks'!AT8</f>
        <v>#N/A</v>
      </c>
      <c r="AR10" s="33" t="e">
        <f ca="1">+'3.Tasks'!AU8</f>
        <v>#N/A</v>
      </c>
      <c r="AS10" s="33" t="e">
        <f ca="1">+'3.Tasks'!AV8</f>
        <v>#N/A</v>
      </c>
      <c r="AT10" s="33" t="e">
        <f ca="1">+'3.Tasks'!AW8</f>
        <v>#N/A</v>
      </c>
      <c r="AU10" s="33" t="e">
        <f ca="1">+'3.Tasks'!AX8</f>
        <v>#N/A</v>
      </c>
      <c r="AV10" s="33" t="e">
        <f ca="1">+'3.Tasks'!AY8</f>
        <v>#N/A</v>
      </c>
      <c r="AW10" s="33" t="e">
        <f ca="1">+'3.Tasks'!AZ8</f>
        <v>#N/A</v>
      </c>
      <c r="AX10" s="33" t="e">
        <f ca="1">+'3.Tasks'!BA8</f>
        <v>#N/A</v>
      </c>
      <c r="AY10" s="33" t="e">
        <f ca="1">+'3.Tasks'!BB8</f>
        <v>#N/A</v>
      </c>
      <c r="AZ10" s="33" t="e">
        <f ca="1">+'3.Tasks'!BC8</f>
        <v>#N/A</v>
      </c>
      <c r="BA10" s="33" t="e">
        <f ca="1">+'3.Tasks'!BD8</f>
        <v>#N/A</v>
      </c>
      <c r="BB10" s="34" t="e">
        <f ca="1">+'3.Tasks'!BE8</f>
        <v>#N/A</v>
      </c>
      <c r="BD10" s="265" t="str">
        <f>IF(SUMIF('4.Team'!$CG:$CG,'8.Timeline'!BD$5,'4.Team'!$BJ:$BJ)&gt;0,'8.Timeline'!BD$4,"")</f>
        <v/>
      </c>
      <c r="BE10" s="265" t="str">
        <f>IF(SUMIF('4.Team'!$CG:$CG,'8.Timeline'!BE$5,'4.Team'!$BJ:$BJ)&gt;0,'8.Timeline'!BE$4,"")</f>
        <v/>
      </c>
      <c r="BF10" s="265" t="str">
        <f>IF(SUMIF('4.Team'!$CG:$CG,'8.Timeline'!BF$5,'4.Team'!$BJ:$BJ)&gt;0,'8.Timeline'!BF$4,"")</f>
        <v/>
      </c>
      <c r="BG10" s="265" t="str">
        <f>IF(SUMIF('4.Team'!$CG:$CG,'8.Timeline'!BG$5,'4.Team'!$BJ:$BJ)&gt;0,'8.Timeline'!BG$4,"")</f>
        <v/>
      </c>
      <c r="BH10" s="265" t="str">
        <f>IF(SUMIF('4.Team'!$CG:$CG,'8.Timeline'!BH$5,'4.Team'!$BJ:$BJ)&gt;0,'8.Timeline'!BH$4,"")</f>
        <v/>
      </c>
      <c r="BI10" s="265" t="str">
        <f>IF(SUMIF('4.Team'!$CG:$CG,'8.Timeline'!BI$5,'4.Team'!$BJ:$BJ)&gt;0,'8.Timeline'!BI$4,"")</f>
        <v/>
      </c>
      <c r="BJ10" s="265" t="str">
        <f>IF(SUMIF('4.Team'!$CG:$CG,'8.Timeline'!BJ$5,'4.Team'!$BJ:$BJ)&gt;0,'8.Timeline'!BJ$4,"")</f>
        <v/>
      </c>
      <c r="BK10" s="265" t="str">
        <f>IF(SUMIF('4.Team'!$CG:$CG,'8.Timeline'!BK$5,'4.Team'!$BJ:$BJ)&gt;0,'8.Timeline'!BK$4,"")</f>
        <v/>
      </c>
      <c r="BL10" s="265" t="str">
        <f>IF(SUMIF('4.Team'!$CG:$CG,'8.Timeline'!BL$5,'4.Team'!$BJ:$BJ)&gt;0,'8.Timeline'!BL$4,"")</f>
        <v/>
      </c>
      <c r="BM10" s="265" t="str">
        <f>IF(SUMIF('4.Team'!$CG:$CG,'8.Timeline'!BM$5,'4.Team'!$BJ:$BJ)&gt;0,'8.Timeline'!BM$4,"")</f>
        <v/>
      </c>
      <c r="BN10" s="265" t="str">
        <f>IF(SUMIF('4.Team'!$CG:$CG,'8.Timeline'!BN$5,'4.Team'!$BJ:$BJ)&gt;0,'8.Timeline'!BN$4,"")</f>
        <v/>
      </c>
      <c r="BP10" s="36" t="str">
        <f>IF(C10=0,"",IF('4.Team'!$E$4="","",IF(E10="","Alert: Column E needs to be filled in",IF(F10="","Alert: This task has yet to be assigned to team members on the TEAM sheet",""))))</f>
        <v/>
      </c>
    </row>
    <row r="11" spans="1:68" s="36" customFormat="1" ht="23.4" customHeight="1">
      <c r="A11" s="36" t="s">
        <v>23</v>
      </c>
      <c r="B11" s="27">
        <v>6</v>
      </c>
      <c r="C11" s="28">
        <f>+'3.Tasks'!C9</f>
        <v>0</v>
      </c>
      <c r="D11" s="29">
        <f>+'4.Team'!BK31+'4.Team'!BK40+'4.Team'!BK49</f>
        <v>0</v>
      </c>
      <c r="E11" s="30"/>
      <c r="F11" s="31" t="str">
        <f>IF(C11=0,"NA",BD11&amp;BE11&amp;BF11&amp;BG11&amp;BH11&amp;BI11&amp;BJ11&amp;BK11&amp;BL11&amp;BM11&amp;BN11)</f>
        <v>NA</v>
      </c>
      <c r="G11" s="32">
        <f ca="1">+'3.Tasks'!J9</f>
        <v>0</v>
      </c>
      <c r="H11" s="33">
        <f ca="1">+'3.Tasks'!K9</f>
        <v>0</v>
      </c>
      <c r="I11" s="33" t="e">
        <f ca="1">+'3.Tasks'!L9</f>
        <v>#N/A</v>
      </c>
      <c r="J11" s="33" t="e">
        <f ca="1">+'3.Tasks'!M9</f>
        <v>#N/A</v>
      </c>
      <c r="K11" s="33" t="e">
        <f ca="1">+'3.Tasks'!N9</f>
        <v>#N/A</v>
      </c>
      <c r="L11" s="33" t="e">
        <f ca="1">+'3.Tasks'!O9</f>
        <v>#N/A</v>
      </c>
      <c r="M11" s="33" t="e">
        <f ca="1">+'3.Tasks'!P9</f>
        <v>#N/A</v>
      </c>
      <c r="N11" s="33" t="e">
        <f ca="1">+'3.Tasks'!Q9</f>
        <v>#N/A</v>
      </c>
      <c r="O11" s="33" t="e">
        <f ca="1">+'3.Tasks'!R9</f>
        <v>#N/A</v>
      </c>
      <c r="P11" s="33" t="e">
        <f ca="1">+'3.Tasks'!S9</f>
        <v>#N/A</v>
      </c>
      <c r="Q11" s="33" t="e">
        <f ca="1">+'3.Tasks'!T9</f>
        <v>#N/A</v>
      </c>
      <c r="R11" s="34" t="e">
        <f ca="1">+'3.Tasks'!U9</f>
        <v>#N/A</v>
      </c>
      <c r="S11" s="35" t="e">
        <f ca="1">+'3.Tasks'!V9</f>
        <v>#N/A</v>
      </c>
      <c r="T11" s="33" t="e">
        <f ca="1">+'3.Tasks'!W9</f>
        <v>#N/A</v>
      </c>
      <c r="U11" s="33" t="e">
        <f ca="1">+'3.Tasks'!X9</f>
        <v>#N/A</v>
      </c>
      <c r="V11" s="33" t="e">
        <f ca="1">+'3.Tasks'!Y9</f>
        <v>#N/A</v>
      </c>
      <c r="W11" s="33" t="e">
        <f ca="1">+'3.Tasks'!Z9</f>
        <v>#N/A</v>
      </c>
      <c r="X11" s="33" t="e">
        <f ca="1">+'3.Tasks'!AA9</f>
        <v>#N/A</v>
      </c>
      <c r="Y11" s="33" t="e">
        <f ca="1">+'3.Tasks'!AB9</f>
        <v>#N/A</v>
      </c>
      <c r="Z11" s="33" t="e">
        <f ca="1">+'3.Tasks'!AC9</f>
        <v>#N/A</v>
      </c>
      <c r="AA11" s="33" t="e">
        <f ca="1">+'3.Tasks'!AD9</f>
        <v>#N/A</v>
      </c>
      <c r="AB11" s="33" t="e">
        <f ca="1">+'3.Tasks'!AE9</f>
        <v>#N/A</v>
      </c>
      <c r="AC11" s="33" t="e">
        <f ca="1">+'3.Tasks'!AF9</f>
        <v>#N/A</v>
      </c>
      <c r="AD11" s="34" t="e">
        <f ca="1">+'3.Tasks'!AG9</f>
        <v>#N/A</v>
      </c>
      <c r="AE11" s="35" t="e">
        <f ca="1">+'3.Tasks'!AH9</f>
        <v>#N/A</v>
      </c>
      <c r="AF11" s="33" t="e">
        <f ca="1">+'3.Tasks'!AI9</f>
        <v>#N/A</v>
      </c>
      <c r="AG11" s="33" t="e">
        <f ca="1">+'3.Tasks'!AJ9</f>
        <v>#N/A</v>
      </c>
      <c r="AH11" s="33" t="e">
        <f ca="1">+'3.Tasks'!AK9</f>
        <v>#N/A</v>
      </c>
      <c r="AI11" s="33" t="e">
        <f ca="1">+'3.Tasks'!AL9</f>
        <v>#N/A</v>
      </c>
      <c r="AJ11" s="33" t="e">
        <f ca="1">+'3.Tasks'!AM9</f>
        <v>#N/A</v>
      </c>
      <c r="AK11" s="33" t="e">
        <f ca="1">+'3.Tasks'!AN9</f>
        <v>#N/A</v>
      </c>
      <c r="AL11" s="33" t="e">
        <f ca="1">+'3.Tasks'!AO9</f>
        <v>#N/A</v>
      </c>
      <c r="AM11" s="33" t="e">
        <f ca="1">+'3.Tasks'!AP9</f>
        <v>#N/A</v>
      </c>
      <c r="AN11" s="33" t="e">
        <f ca="1">+'3.Tasks'!AQ9</f>
        <v>#N/A</v>
      </c>
      <c r="AO11" s="33" t="e">
        <f ca="1">+'3.Tasks'!AR9</f>
        <v>#N/A</v>
      </c>
      <c r="AP11" s="34" t="e">
        <f ca="1">+'3.Tasks'!AS9</f>
        <v>#N/A</v>
      </c>
      <c r="AQ11" s="35" t="e">
        <f ca="1">+'3.Tasks'!AT9</f>
        <v>#N/A</v>
      </c>
      <c r="AR11" s="33" t="e">
        <f ca="1">+'3.Tasks'!AU9</f>
        <v>#N/A</v>
      </c>
      <c r="AS11" s="33" t="e">
        <f ca="1">+'3.Tasks'!AV9</f>
        <v>#N/A</v>
      </c>
      <c r="AT11" s="33" t="e">
        <f ca="1">+'3.Tasks'!AW9</f>
        <v>#N/A</v>
      </c>
      <c r="AU11" s="33" t="e">
        <f ca="1">+'3.Tasks'!AX9</f>
        <v>#N/A</v>
      </c>
      <c r="AV11" s="33" t="e">
        <f ca="1">+'3.Tasks'!AY9</f>
        <v>#N/A</v>
      </c>
      <c r="AW11" s="33" t="e">
        <f ca="1">+'3.Tasks'!AZ9</f>
        <v>#N/A</v>
      </c>
      <c r="AX11" s="33" t="e">
        <f ca="1">+'3.Tasks'!BA9</f>
        <v>#N/A</v>
      </c>
      <c r="AY11" s="33" t="e">
        <f ca="1">+'3.Tasks'!BB9</f>
        <v>#N/A</v>
      </c>
      <c r="AZ11" s="33" t="e">
        <f ca="1">+'3.Tasks'!BC9</f>
        <v>#N/A</v>
      </c>
      <c r="BA11" s="33" t="e">
        <f ca="1">+'3.Tasks'!BD9</f>
        <v>#N/A</v>
      </c>
      <c r="BB11" s="34" t="e">
        <f ca="1">+'3.Tasks'!BE9</f>
        <v>#N/A</v>
      </c>
      <c r="BD11" s="265" t="str">
        <f>IF(SUMIF('4.Team'!$CG:$CG,'8.Timeline'!BD$5,'4.Team'!$BK:$BK)&gt;0,'8.Timeline'!BD$4,"")</f>
        <v/>
      </c>
      <c r="BE11" s="265" t="str">
        <f>IF(SUMIF('4.Team'!$CG:$CG,'8.Timeline'!BE$5,'4.Team'!$BK:$BK)&gt;0,'8.Timeline'!BE$4,"")</f>
        <v/>
      </c>
      <c r="BF11" s="265" t="str">
        <f>IF(SUMIF('4.Team'!$CG:$CG,'8.Timeline'!BF$5,'4.Team'!$BK:$BK)&gt;0,'8.Timeline'!BF$4,"")</f>
        <v/>
      </c>
      <c r="BG11" s="265" t="str">
        <f>IF(SUMIF('4.Team'!$CG:$CG,'8.Timeline'!BG$5,'4.Team'!$BK:$BK)&gt;0,'8.Timeline'!BG$4,"")</f>
        <v/>
      </c>
      <c r="BH11" s="265" t="str">
        <f>IF(SUMIF('4.Team'!$CG:$CG,'8.Timeline'!BH$5,'4.Team'!$BK:$BK)&gt;0,'8.Timeline'!BH$4,"")</f>
        <v/>
      </c>
      <c r="BI11" s="265" t="str">
        <f>IF(SUMIF('4.Team'!$CG:$CG,'8.Timeline'!BI$5,'4.Team'!$BK:$BK)&gt;0,'8.Timeline'!BI$4,"")</f>
        <v/>
      </c>
      <c r="BJ11" s="265" t="str">
        <f>IF(SUMIF('4.Team'!$CG:$CG,'8.Timeline'!BJ$5,'4.Team'!$BK:$BK)&gt;0,'8.Timeline'!BJ$4,"")</f>
        <v/>
      </c>
      <c r="BK11" s="265" t="str">
        <f>IF(SUMIF('4.Team'!$CG:$CG,'8.Timeline'!BK$5,'4.Team'!$BK:$BK)&gt;0,'8.Timeline'!BK$4,"")</f>
        <v/>
      </c>
      <c r="BL11" s="265" t="str">
        <f>IF(SUMIF('4.Team'!$CG:$CG,'8.Timeline'!BL$5,'4.Team'!$BK:$BK)&gt;0,'8.Timeline'!BL$4,"")</f>
        <v/>
      </c>
      <c r="BM11" s="265" t="str">
        <f>IF(SUMIF('4.Team'!$CG:$CG,'8.Timeline'!BM$5,'4.Team'!$BK:$BK)&gt;0,'8.Timeline'!BM$4,"")</f>
        <v/>
      </c>
      <c r="BN11" s="265" t="str">
        <f>IF(SUMIF('4.Team'!$CG:$CG,'8.Timeline'!BN$5,'4.Team'!$BK:$BK)&gt;0,'8.Timeline'!BN$4,"")</f>
        <v/>
      </c>
      <c r="BP11" s="36" t="str">
        <f>IF(C11=0,"",IF('4.Team'!$E$4="","",IF(E11="","Alert: Column E needs to be filled in",IF(F11="","Alert: This task has yet to be assigned to team members on the TEAM sheet",""))))</f>
        <v/>
      </c>
    </row>
    <row r="12" spans="1:68" s="36" customFormat="1" ht="23.4" customHeight="1">
      <c r="A12" s="36" t="s">
        <v>24</v>
      </c>
      <c r="B12" s="27">
        <v>7</v>
      </c>
      <c r="C12" s="28">
        <f>+'3.Tasks'!C10</f>
        <v>0</v>
      </c>
      <c r="D12" s="29">
        <f>+'4.Team'!BL31+'4.Team'!BL40+'4.Team'!BL49</f>
        <v>0</v>
      </c>
      <c r="E12" s="30"/>
      <c r="F12" s="31" t="str">
        <f t="shared" si="3"/>
        <v>NA</v>
      </c>
      <c r="G12" s="32">
        <f ca="1">+'3.Tasks'!J10</f>
        <v>0</v>
      </c>
      <c r="H12" s="33">
        <f ca="1">+'3.Tasks'!K10</f>
        <v>0</v>
      </c>
      <c r="I12" s="33" t="e">
        <f ca="1">+'3.Tasks'!L10</f>
        <v>#N/A</v>
      </c>
      <c r="J12" s="33" t="e">
        <f ca="1">+'3.Tasks'!M10</f>
        <v>#N/A</v>
      </c>
      <c r="K12" s="33" t="e">
        <f ca="1">+'3.Tasks'!N10</f>
        <v>#N/A</v>
      </c>
      <c r="L12" s="33" t="e">
        <f ca="1">+'3.Tasks'!O10</f>
        <v>#N/A</v>
      </c>
      <c r="M12" s="33" t="e">
        <f ca="1">+'3.Tasks'!P10</f>
        <v>#N/A</v>
      </c>
      <c r="N12" s="33" t="e">
        <f ca="1">+'3.Tasks'!Q10</f>
        <v>#N/A</v>
      </c>
      <c r="O12" s="33" t="e">
        <f ca="1">+'3.Tasks'!R10</f>
        <v>#N/A</v>
      </c>
      <c r="P12" s="33" t="e">
        <f ca="1">+'3.Tasks'!S10</f>
        <v>#N/A</v>
      </c>
      <c r="Q12" s="33" t="e">
        <f ca="1">+'3.Tasks'!T10</f>
        <v>#N/A</v>
      </c>
      <c r="R12" s="34" t="e">
        <f ca="1">+'3.Tasks'!U10</f>
        <v>#N/A</v>
      </c>
      <c r="S12" s="35" t="e">
        <f ca="1">+'3.Tasks'!V10</f>
        <v>#N/A</v>
      </c>
      <c r="T12" s="33" t="e">
        <f ca="1">+'3.Tasks'!W10</f>
        <v>#N/A</v>
      </c>
      <c r="U12" s="33" t="e">
        <f ca="1">+'3.Tasks'!X10</f>
        <v>#N/A</v>
      </c>
      <c r="V12" s="33" t="e">
        <f ca="1">+'3.Tasks'!Y10</f>
        <v>#N/A</v>
      </c>
      <c r="W12" s="33" t="e">
        <f ca="1">+'3.Tasks'!Z10</f>
        <v>#N/A</v>
      </c>
      <c r="X12" s="33" t="e">
        <f ca="1">+'3.Tasks'!AA10</f>
        <v>#N/A</v>
      </c>
      <c r="Y12" s="33" t="e">
        <f ca="1">+'3.Tasks'!AB10</f>
        <v>#N/A</v>
      </c>
      <c r="Z12" s="33" t="e">
        <f ca="1">+'3.Tasks'!AC10</f>
        <v>#N/A</v>
      </c>
      <c r="AA12" s="33" t="e">
        <f ca="1">+'3.Tasks'!AD10</f>
        <v>#N/A</v>
      </c>
      <c r="AB12" s="33" t="e">
        <f ca="1">+'3.Tasks'!AE10</f>
        <v>#N/A</v>
      </c>
      <c r="AC12" s="33" t="e">
        <f ca="1">+'3.Tasks'!AF10</f>
        <v>#N/A</v>
      </c>
      <c r="AD12" s="34" t="e">
        <f ca="1">+'3.Tasks'!AG10</f>
        <v>#N/A</v>
      </c>
      <c r="AE12" s="35" t="e">
        <f ca="1">+'3.Tasks'!AH10</f>
        <v>#N/A</v>
      </c>
      <c r="AF12" s="33" t="e">
        <f ca="1">+'3.Tasks'!AI10</f>
        <v>#N/A</v>
      </c>
      <c r="AG12" s="33" t="e">
        <f ca="1">+'3.Tasks'!AJ10</f>
        <v>#N/A</v>
      </c>
      <c r="AH12" s="33" t="e">
        <f ca="1">+'3.Tasks'!AK10</f>
        <v>#N/A</v>
      </c>
      <c r="AI12" s="33" t="e">
        <f ca="1">+'3.Tasks'!AL10</f>
        <v>#N/A</v>
      </c>
      <c r="AJ12" s="33" t="e">
        <f ca="1">+'3.Tasks'!AM10</f>
        <v>#N/A</v>
      </c>
      <c r="AK12" s="33" t="e">
        <f ca="1">+'3.Tasks'!AN10</f>
        <v>#N/A</v>
      </c>
      <c r="AL12" s="33" t="e">
        <f ca="1">+'3.Tasks'!AO10</f>
        <v>#N/A</v>
      </c>
      <c r="AM12" s="33" t="e">
        <f ca="1">+'3.Tasks'!AP10</f>
        <v>#N/A</v>
      </c>
      <c r="AN12" s="33" t="e">
        <f ca="1">+'3.Tasks'!AQ10</f>
        <v>#N/A</v>
      </c>
      <c r="AO12" s="33" t="e">
        <f ca="1">+'3.Tasks'!AR10</f>
        <v>#N/A</v>
      </c>
      <c r="AP12" s="34" t="e">
        <f ca="1">+'3.Tasks'!AS10</f>
        <v>#N/A</v>
      </c>
      <c r="AQ12" s="35" t="e">
        <f ca="1">+'3.Tasks'!AT10</f>
        <v>#N/A</v>
      </c>
      <c r="AR12" s="33" t="e">
        <f ca="1">+'3.Tasks'!AU10</f>
        <v>#N/A</v>
      </c>
      <c r="AS12" s="33" t="e">
        <f ca="1">+'3.Tasks'!AV10</f>
        <v>#N/A</v>
      </c>
      <c r="AT12" s="33" t="e">
        <f ca="1">+'3.Tasks'!AW10</f>
        <v>#N/A</v>
      </c>
      <c r="AU12" s="33" t="e">
        <f ca="1">+'3.Tasks'!AX10</f>
        <v>#N/A</v>
      </c>
      <c r="AV12" s="33" t="e">
        <f ca="1">+'3.Tasks'!AY10</f>
        <v>#N/A</v>
      </c>
      <c r="AW12" s="33" t="e">
        <f ca="1">+'3.Tasks'!AZ10</f>
        <v>#N/A</v>
      </c>
      <c r="AX12" s="33" t="e">
        <f ca="1">+'3.Tasks'!BA10</f>
        <v>#N/A</v>
      </c>
      <c r="AY12" s="33" t="e">
        <f ca="1">+'3.Tasks'!BB10</f>
        <v>#N/A</v>
      </c>
      <c r="AZ12" s="33" t="e">
        <f ca="1">+'3.Tasks'!BC10</f>
        <v>#N/A</v>
      </c>
      <c r="BA12" s="33" t="e">
        <f ca="1">+'3.Tasks'!BD10</f>
        <v>#N/A</v>
      </c>
      <c r="BB12" s="34" t="e">
        <f ca="1">+'3.Tasks'!BE10</f>
        <v>#N/A</v>
      </c>
      <c r="BD12" s="265" t="str">
        <f>IF(SUMIF('4.Team'!$CG:$CG,'8.Timeline'!BD$5,'4.Team'!$BL:$BL)&gt;0,'8.Timeline'!BD$4,"")</f>
        <v/>
      </c>
      <c r="BE12" s="265" t="str">
        <f>IF(SUMIF('4.Team'!$CG:$CG,'8.Timeline'!BE$5,'4.Team'!$BL:$BL)&gt;0,'8.Timeline'!BE$4,"")</f>
        <v/>
      </c>
      <c r="BF12" s="265" t="str">
        <f>IF(SUMIF('4.Team'!$CG:$CG,'8.Timeline'!BF$5,'4.Team'!$BL:$BL)&gt;0,'8.Timeline'!BF$4,"")</f>
        <v/>
      </c>
      <c r="BG12" s="265" t="str">
        <f>IF(SUMIF('4.Team'!$CG:$CG,'8.Timeline'!BG$5,'4.Team'!$BL:$BL)&gt;0,'8.Timeline'!BG$4,"")</f>
        <v/>
      </c>
      <c r="BH12" s="265" t="str">
        <f>IF(SUMIF('4.Team'!$CG:$CG,'8.Timeline'!BH$5,'4.Team'!$BL:$BL)&gt;0,'8.Timeline'!BH$4,"")</f>
        <v/>
      </c>
      <c r="BI12" s="265" t="str">
        <f>IF(SUMIF('4.Team'!$CG:$CG,'8.Timeline'!BI$5,'4.Team'!$BL:$BL)&gt;0,'8.Timeline'!BI$4,"")</f>
        <v/>
      </c>
      <c r="BJ12" s="265" t="str">
        <f>IF(SUMIF('4.Team'!$CG:$CG,'8.Timeline'!BJ$5,'4.Team'!$BL:$BL)&gt;0,'8.Timeline'!BJ$4,"")</f>
        <v/>
      </c>
      <c r="BK12" s="265" t="str">
        <f>IF(SUMIF('4.Team'!$CG:$CG,'8.Timeline'!BK$5,'4.Team'!$BL:$BL)&gt;0,'8.Timeline'!BK$4,"")</f>
        <v/>
      </c>
      <c r="BL12" s="265" t="str">
        <f>IF(SUMIF('4.Team'!$CG:$CG,'8.Timeline'!BL$5,'4.Team'!$BL:$BL)&gt;0,'8.Timeline'!BL$4,"")</f>
        <v/>
      </c>
      <c r="BM12" s="265" t="str">
        <f>IF(SUMIF('4.Team'!$CG:$CG,'8.Timeline'!BM$5,'4.Team'!$BL:$BL)&gt;0,'8.Timeline'!BM$4,"")</f>
        <v/>
      </c>
      <c r="BN12" s="265" t="str">
        <f>IF(SUMIF('4.Team'!$CG:$CG,'8.Timeline'!BN$5,'4.Team'!$BL:$BL)&gt;0,'8.Timeline'!BN$4,"")</f>
        <v/>
      </c>
      <c r="BP12" s="36" t="str">
        <f>IF(C12=0,"",IF('4.Team'!$E$4="","",IF(E12="","Alert: Column E needs to be filled in",IF(F12="","Alert: This task has yet to be assigned to team members on the TEAM sheet",""))))</f>
        <v/>
      </c>
    </row>
    <row r="13" spans="1:68" s="36" customFormat="1" ht="23.4" customHeight="1">
      <c r="A13" s="36" t="s">
        <v>25</v>
      </c>
      <c r="B13" s="27">
        <v>8</v>
      </c>
      <c r="C13" s="28">
        <f>+'3.Tasks'!C11</f>
        <v>0</v>
      </c>
      <c r="D13" s="29">
        <f>+'4.Team'!BM31+'4.Team'!BM40+'4.Team'!BM49</f>
        <v>0</v>
      </c>
      <c r="E13" s="30"/>
      <c r="F13" s="31" t="str">
        <f t="shared" si="3"/>
        <v>NA</v>
      </c>
      <c r="G13" s="32">
        <f ca="1">+'3.Tasks'!J11</f>
        <v>0</v>
      </c>
      <c r="H13" s="33">
        <f ca="1">+'3.Tasks'!K11</f>
        <v>0</v>
      </c>
      <c r="I13" s="33" t="e">
        <f ca="1">+'3.Tasks'!L11</f>
        <v>#N/A</v>
      </c>
      <c r="J13" s="33" t="e">
        <f ca="1">+'3.Tasks'!M11</f>
        <v>#N/A</v>
      </c>
      <c r="K13" s="33" t="e">
        <f ca="1">+'3.Tasks'!N11</f>
        <v>#N/A</v>
      </c>
      <c r="L13" s="33" t="e">
        <f ca="1">+'3.Tasks'!O11</f>
        <v>#N/A</v>
      </c>
      <c r="M13" s="33" t="e">
        <f ca="1">+'3.Tasks'!P11</f>
        <v>#N/A</v>
      </c>
      <c r="N13" s="33" t="e">
        <f ca="1">+'3.Tasks'!Q11</f>
        <v>#N/A</v>
      </c>
      <c r="O13" s="33" t="e">
        <f ca="1">+'3.Tasks'!R11</f>
        <v>#N/A</v>
      </c>
      <c r="P13" s="33" t="e">
        <f ca="1">+'3.Tasks'!S11</f>
        <v>#N/A</v>
      </c>
      <c r="Q13" s="33" t="e">
        <f ca="1">+'3.Tasks'!T11</f>
        <v>#N/A</v>
      </c>
      <c r="R13" s="34" t="e">
        <f ca="1">+'3.Tasks'!U11</f>
        <v>#N/A</v>
      </c>
      <c r="S13" s="35" t="e">
        <f ca="1">+'3.Tasks'!V11</f>
        <v>#N/A</v>
      </c>
      <c r="T13" s="33" t="e">
        <f ca="1">+'3.Tasks'!W11</f>
        <v>#N/A</v>
      </c>
      <c r="U13" s="33" t="e">
        <f ca="1">+'3.Tasks'!X11</f>
        <v>#N/A</v>
      </c>
      <c r="V13" s="33" t="e">
        <f ca="1">+'3.Tasks'!Y11</f>
        <v>#N/A</v>
      </c>
      <c r="W13" s="33" t="e">
        <f ca="1">+'3.Tasks'!Z11</f>
        <v>#N/A</v>
      </c>
      <c r="X13" s="33" t="e">
        <f ca="1">+'3.Tasks'!AA11</f>
        <v>#N/A</v>
      </c>
      <c r="Y13" s="33" t="e">
        <f ca="1">+'3.Tasks'!AB11</f>
        <v>#N/A</v>
      </c>
      <c r="Z13" s="33" t="e">
        <f ca="1">+'3.Tasks'!AC11</f>
        <v>#N/A</v>
      </c>
      <c r="AA13" s="33" t="e">
        <f ca="1">+'3.Tasks'!AD11</f>
        <v>#N/A</v>
      </c>
      <c r="AB13" s="33" t="e">
        <f ca="1">+'3.Tasks'!AE11</f>
        <v>#N/A</v>
      </c>
      <c r="AC13" s="33" t="e">
        <f ca="1">+'3.Tasks'!AF11</f>
        <v>#N/A</v>
      </c>
      <c r="AD13" s="34" t="e">
        <f ca="1">+'3.Tasks'!AG11</f>
        <v>#N/A</v>
      </c>
      <c r="AE13" s="35" t="e">
        <f ca="1">+'3.Tasks'!AH11</f>
        <v>#N/A</v>
      </c>
      <c r="AF13" s="33" t="e">
        <f ca="1">+'3.Tasks'!AI11</f>
        <v>#N/A</v>
      </c>
      <c r="AG13" s="33" t="e">
        <f ca="1">+'3.Tasks'!AJ11</f>
        <v>#N/A</v>
      </c>
      <c r="AH13" s="33" t="e">
        <f ca="1">+'3.Tasks'!AK11</f>
        <v>#N/A</v>
      </c>
      <c r="AI13" s="33" t="e">
        <f ca="1">+'3.Tasks'!AL11</f>
        <v>#N/A</v>
      </c>
      <c r="AJ13" s="33" t="e">
        <f ca="1">+'3.Tasks'!AM11</f>
        <v>#N/A</v>
      </c>
      <c r="AK13" s="33" t="e">
        <f ca="1">+'3.Tasks'!AN11</f>
        <v>#N/A</v>
      </c>
      <c r="AL13" s="33" t="e">
        <f ca="1">+'3.Tasks'!AO11</f>
        <v>#N/A</v>
      </c>
      <c r="AM13" s="33" t="e">
        <f ca="1">+'3.Tasks'!AP11</f>
        <v>#N/A</v>
      </c>
      <c r="AN13" s="33" t="e">
        <f ca="1">+'3.Tasks'!AQ11</f>
        <v>#N/A</v>
      </c>
      <c r="AO13" s="33" t="e">
        <f ca="1">+'3.Tasks'!AR11</f>
        <v>#N/A</v>
      </c>
      <c r="AP13" s="34" t="e">
        <f ca="1">+'3.Tasks'!AS11</f>
        <v>#N/A</v>
      </c>
      <c r="AQ13" s="35" t="e">
        <f ca="1">+'3.Tasks'!AT11</f>
        <v>#N/A</v>
      </c>
      <c r="AR13" s="33" t="e">
        <f ca="1">+'3.Tasks'!AU11</f>
        <v>#N/A</v>
      </c>
      <c r="AS13" s="33" t="e">
        <f ca="1">+'3.Tasks'!AV11</f>
        <v>#N/A</v>
      </c>
      <c r="AT13" s="33" t="e">
        <f ca="1">+'3.Tasks'!AW11</f>
        <v>#N/A</v>
      </c>
      <c r="AU13" s="33" t="e">
        <f ca="1">+'3.Tasks'!AX11</f>
        <v>#N/A</v>
      </c>
      <c r="AV13" s="33" t="e">
        <f ca="1">+'3.Tasks'!AY11</f>
        <v>#N/A</v>
      </c>
      <c r="AW13" s="33" t="e">
        <f ca="1">+'3.Tasks'!AZ11</f>
        <v>#N/A</v>
      </c>
      <c r="AX13" s="33" t="e">
        <f ca="1">+'3.Tasks'!BA11</f>
        <v>#N/A</v>
      </c>
      <c r="AY13" s="33" t="e">
        <f ca="1">+'3.Tasks'!BB11</f>
        <v>#N/A</v>
      </c>
      <c r="AZ13" s="33" t="e">
        <f ca="1">+'3.Tasks'!BC11</f>
        <v>#N/A</v>
      </c>
      <c r="BA13" s="33" t="e">
        <f ca="1">+'3.Tasks'!BD11</f>
        <v>#N/A</v>
      </c>
      <c r="BB13" s="34" t="e">
        <f ca="1">+'3.Tasks'!BE11</f>
        <v>#N/A</v>
      </c>
      <c r="BD13" s="265" t="str">
        <f>IF(SUMIF('4.Team'!$CG:$CG,'8.Timeline'!BD$5,'4.Team'!$BM:$BM)&gt;0,'8.Timeline'!BD$4,"")</f>
        <v/>
      </c>
      <c r="BE13" s="265" t="str">
        <f>IF(SUMIF('4.Team'!$CG:$CG,'8.Timeline'!BE$5,'4.Team'!$BM:$BM)&gt;0,'8.Timeline'!BE$4,"")</f>
        <v/>
      </c>
      <c r="BF13" s="265" t="str">
        <f>IF(SUMIF('4.Team'!$CG:$CG,'8.Timeline'!BF$5,'4.Team'!$BM:$BM)&gt;0,'8.Timeline'!BF$4,"")</f>
        <v/>
      </c>
      <c r="BG13" s="265" t="str">
        <f>IF(SUMIF('4.Team'!$CG:$CG,'8.Timeline'!BG$5,'4.Team'!$BM:$BM)&gt;0,'8.Timeline'!BG$4,"")</f>
        <v/>
      </c>
      <c r="BH13" s="265" t="str">
        <f>IF(SUMIF('4.Team'!$CG:$CG,'8.Timeline'!BH$5,'4.Team'!$BM:$BM)&gt;0,'8.Timeline'!BH$4,"")</f>
        <v/>
      </c>
      <c r="BI13" s="265" t="str">
        <f>IF(SUMIF('4.Team'!$CG:$CG,'8.Timeline'!BI$5,'4.Team'!$BM:$BM)&gt;0,'8.Timeline'!BI$4,"")</f>
        <v/>
      </c>
      <c r="BJ13" s="265" t="str">
        <f>IF(SUMIF('4.Team'!$CG:$CG,'8.Timeline'!BJ$5,'4.Team'!$BM:$BM)&gt;0,'8.Timeline'!BJ$4,"")</f>
        <v/>
      </c>
      <c r="BK13" s="265" t="str">
        <f>IF(SUMIF('4.Team'!$CG:$CG,'8.Timeline'!BK$5,'4.Team'!$BM:$BM)&gt;0,'8.Timeline'!BK$4,"")</f>
        <v/>
      </c>
      <c r="BL13" s="265" t="str">
        <f>IF(SUMIF('4.Team'!$CG:$CG,'8.Timeline'!BL$5,'4.Team'!$BM:$BM)&gt;0,'8.Timeline'!BL$4,"")</f>
        <v/>
      </c>
      <c r="BM13" s="265" t="str">
        <f>IF(SUMIF('4.Team'!$CG:$CG,'8.Timeline'!BM$5,'4.Team'!$BM:$BM)&gt;0,'8.Timeline'!BM$4,"")</f>
        <v/>
      </c>
      <c r="BN13" s="265" t="str">
        <f>IF(SUMIF('4.Team'!$CG:$CG,'8.Timeline'!BN$5,'4.Team'!$BM:$BM)&gt;0,'8.Timeline'!BN$4,"")</f>
        <v/>
      </c>
      <c r="BP13" s="36" t="str">
        <f>IF(C13=0,"",IF('4.Team'!$E$4="","",IF(E13="","Alert: Column E needs to be filled in",IF(F13="","Alert: This task has yet to be assigned to team members on the TEAM sheet",""))))</f>
        <v/>
      </c>
    </row>
    <row r="14" spans="1:68" s="36" customFormat="1" ht="23.4" customHeight="1">
      <c r="A14" s="36" t="s">
        <v>26</v>
      </c>
      <c r="B14" s="27">
        <v>9</v>
      </c>
      <c r="C14" s="28">
        <f>+'3.Tasks'!C12</f>
        <v>0</v>
      </c>
      <c r="D14" s="29">
        <f>+'4.Team'!BN31+'4.Team'!BN40+'4.Team'!BN49</f>
        <v>0</v>
      </c>
      <c r="E14" s="30"/>
      <c r="F14" s="31" t="str">
        <f t="shared" si="3"/>
        <v>NA</v>
      </c>
      <c r="G14" s="32">
        <f ca="1">+'3.Tasks'!J12</f>
        <v>0</v>
      </c>
      <c r="H14" s="33">
        <f ca="1">+'3.Tasks'!K12</f>
        <v>0</v>
      </c>
      <c r="I14" s="33" t="e">
        <f ca="1">+'3.Tasks'!L12</f>
        <v>#N/A</v>
      </c>
      <c r="J14" s="33" t="e">
        <f ca="1">+'3.Tasks'!M12</f>
        <v>#N/A</v>
      </c>
      <c r="K14" s="33" t="e">
        <f ca="1">+'3.Tasks'!N12</f>
        <v>#N/A</v>
      </c>
      <c r="L14" s="33" t="e">
        <f ca="1">+'3.Tasks'!O12</f>
        <v>#N/A</v>
      </c>
      <c r="M14" s="33" t="e">
        <f ca="1">+'3.Tasks'!P12</f>
        <v>#N/A</v>
      </c>
      <c r="N14" s="33" t="e">
        <f ca="1">+'3.Tasks'!Q12</f>
        <v>#N/A</v>
      </c>
      <c r="O14" s="33" t="e">
        <f ca="1">+'3.Tasks'!R12</f>
        <v>#N/A</v>
      </c>
      <c r="P14" s="33" t="e">
        <f ca="1">+'3.Tasks'!S12</f>
        <v>#N/A</v>
      </c>
      <c r="Q14" s="33" t="e">
        <f ca="1">+'3.Tasks'!T12</f>
        <v>#N/A</v>
      </c>
      <c r="R14" s="34" t="e">
        <f ca="1">+'3.Tasks'!U12</f>
        <v>#N/A</v>
      </c>
      <c r="S14" s="35" t="e">
        <f ca="1">+'3.Tasks'!V12</f>
        <v>#N/A</v>
      </c>
      <c r="T14" s="33" t="e">
        <f ca="1">+'3.Tasks'!W12</f>
        <v>#N/A</v>
      </c>
      <c r="U14" s="33" t="e">
        <f ca="1">+'3.Tasks'!X12</f>
        <v>#N/A</v>
      </c>
      <c r="V14" s="33" t="e">
        <f ca="1">+'3.Tasks'!Y12</f>
        <v>#N/A</v>
      </c>
      <c r="W14" s="33" t="e">
        <f ca="1">+'3.Tasks'!Z12</f>
        <v>#N/A</v>
      </c>
      <c r="X14" s="33" t="e">
        <f ca="1">+'3.Tasks'!AA12</f>
        <v>#N/A</v>
      </c>
      <c r="Y14" s="33" t="e">
        <f ca="1">+'3.Tasks'!AB12</f>
        <v>#N/A</v>
      </c>
      <c r="Z14" s="33" t="e">
        <f ca="1">+'3.Tasks'!AC12</f>
        <v>#N/A</v>
      </c>
      <c r="AA14" s="33" t="e">
        <f ca="1">+'3.Tasks'!AD12</f>
        <v>#N/A</v>
      </c>
      <c r="AB14" s="33" t="e">
        <f ca="1">+'3.Tasks'!AE12</f>
        <v>#N/A</v>
      </c>
      <c r="AC14" s="33" t="e">
        <f ca="1">+'3.Tasks'!AF12</f>
        <v>#N/A</v>
      </c>
      <c r="AD14" s="34" t="e">
        <f ca="1">+'3.Tasks'!AG12</f>
        <v>#N/A</v>
      </c>
      <c r="AE14" s="35" t="e">
        <f ca="1">+'3.Tasks'!AH12</f>
        <v>#N/A</v>
      </c>
      <c r="AF14" s="33" t="e">
        <f ca="1">+'3.Tasks'!AI12</f>
        <v>#N/A</v>
      </c>
      <c r="AG14" s="33" t="e">
        <f ca="1">+'3.Tasks'!AJ12</f>
        <v>#N/A</v>
      </c>
      <c r="AH14" s="33" t="e">
        <f ca="1">+'3.Tasks'!AK12</f>
        <v>#N/A</v>
      </c>
      <c r="AI14" s="33" t="e">
        <f ca="1">+'3.Tasks'!AL12</f>
        <v>#N/A</v>
      </c>
      <c r="AJ14" s="33" t="e">
        <f ca="1">+'3.Tasks'!AM12</f>
        <v>#N/A</v>
      </c>
      <c r="AK14" s="33" t="e">
        <f ca="1">+'3.Tasks'!AN12</f>
        <v>#N/A</v>
      </c>
      <c r="AL14" s="33" t="e">
        <f ca="1">+'3.Tasks'!AO12</f>
        <v>#N/A</v>
      </c>
      <c r="AM14" s="33" t="e">
        <f ca="1">+'3.Tasks'!AP12</f>
        <v>#N/A</v>
      </c>
      <c r="AN14" s="33" t="e">
        <f ca="1">+'3.Tasks'!AQ12</f>
        <v>#N/A</v>
      </c>
      <c r="AO14" s="33" t="e">
        <f ca="1">+'3.Tasks'!AR12</f>
        <v>#N/A</v>
      </c>
      <c r="AP14" s="34" t="e">
        <f ca="1">+'3.Tasks'!AS12</f>
        <v>#N/A</v>
      </c>
      <c r="AQ14" s="35" t="e">
        <f ca="1">+'3.Tasks'!AT12</f>
        <v>#N/A</v>
      </c>
      <c r="AR14" s="33" t="e">
        <f ca="1">+'3.Tasks'!AU12</f>
        <v>#N/A</v>
      </c>
      <c r="AS14" s="33" t="e">
        <f ca="1">+'3.Tasks'!AV12</f>
        <v>#N/A</v>
      </c>
      <c r="AT14" s="33" t="e">
        <f ca="1">+'3.Tasks'!AW12</f>
        <v>#N/A</v>
      </c>
      <c r="AU14" s="33" t="e">
        <f ca="1">+'3.Tasks'!AX12</f>
        <v>#N/A</v>
      </c>
      <c r="AV14" s="33" t="e">
        <f ca="1">+'3.Tasks'!AY12</f>
        <v>#N/A</v>
      </c>
      <c r="AW14" s="33" t="e">
        <f ca="1">+'3.Tasks'!AZ12</f>
        <v>#N/A</v>
      </c>
      <c r="AX14" s="33" t="e">
        <f ca="1">+'3.Tasks'!BA12</f>
        <v>#N/A</v>
      </c>
      <c r="AY14" s="33" t="e">
        <f ca="1">+'3.Tasks'!BB12</f>
        <v>#N/A</v>
      </c>
      <c r="AZ14" s="33" t="e">
        <f ca="1">+'3.Tasks'!BC12</f>
        <v>#N/A</v>
      </c>
      <c r="BA14" s="33" t="e">
        <f ca="1">+'3.Tasks'!BD12</f>
        <v>#N/A</v>
      </c>
      <c r="BB14" s="34" t="e">
        <f ca="1">+'3.Tasks'!BE12</f>
        <v>#N/A</v>
      </c>
      <c r="BD14" s="265" t="str">
        <f>IF(SUMIF('4.Team'!$CG:$CG,'8.Timeline'!BD$5,'4.Team'!$BN:$BN)&gt;0,'8.Timeline'!BD$4,"")</f>
        <v/>
      </c>
      <c r="BE14" s="265" t="str">
        <f>IF(SUMIF('4.Team'!$CG:$CG,'8.Timeline'!BE$5,'4.Team'!$BN:$BN)&gt;0,'8.Timeline'!BE$4,"")</f>
        <v/>
      </c>
      <c r="BF14" s="265" t="str">
        <f>IF(SUMIF('4.Team'!$CG:$CG,'8.Timeline'!BF$5,'4.Team'!$BN:$BN)&gt;0,'8.Timeline'!BF$4,"")</f>
        <v/>
      </c>
      <c r="BG14" s="265" t="str">
        <f>IF(SUMIF('4.Team'!$CG:$CG,'8.Timeline'!BG$5,'4.Team'!$BN:$BN)&gt;0,'8.Timeline'!BG$4,"")</f>
        <v/>
      </c>
      <c r="BH14" s="265" t="str">
        <f>IF(SUMIF('4.Team'!$CG:$CG,'8.Timeline'!BH$5,'4.Team'!$BN:$BN)&gt;0,'8.Timeline'!BH$4,"")</f>
        <v/>
      </c>
      <c r="BI14" s="265" t="str">
        <f>IF(SUMIF('4.Team'!$CG:$CG,'8.Timeline'!BI$5,'4.Team'!$BN:$BN)&gt;0,'8.Timeline'!BI$4,"")</f>
        <v/>
      </c>
      <c r="BJ14" s="265" t="str">
        <f>IF(SUMIF('4.Team'!$CG:$CG,'8.Timeline'!BJ$5,'4.Team'!$BN:$BN)&gt;0,'8.Timeline'!BJ$4,"")</f>
        <v/>
      </c>
      <c r="BK14" s="265" t="str">
        <f>IF(SUMIF('4.Team'!$CG:$CG,'8.Timeline'!BK$5,'4.Team'!$BN:$BN)&gt;0,'8.Timeline'!BK$4,"")</f>
        <v/>
      </c>
      <c r="BL14" s="265" t="str">
        <f>IF(SUMIF('4.Team'!$CG:$CG,'8.Timeline'!BL$5,'4.Team'!$BN:$BN)&gt;0,'8.Timeline'!BL$4,"")</f>
        <v/>
      </c>
      <c r="BM14" s="265" t="str">
        <f>IF(SUMIF('4.Team'!$CG:$CG,'8.Timeline'!BM$5,'4.Team'!$BN:$BN)&gt;0,'8.Timeline'!BM$4,"")</f>
        <v/>
      </c>
      <c r="BN14" s="265" t="str">
        <f>IF(SUMIF('4.Team'!$CG:$CG,'8.Timeline'!BN$5,'4.Team'!$BN:$BN)&gt;0,'8.Timeline'!BN$4,"")</f>
        <v/>
      </c>
      <c r="BP14" s="36" t="str">
        <f>IF(C14=0,"",IF('4.Team'!$E$4="","",IF(E14="","Alert: Column E needs to be filled in",IF(F14="","Alert: This task has yet to be assigned to team members on the TEAM sheet",""))))</f>
        <v/>
      </c>
    </row>
    <row r="15" spans="1:68" s="36" customFormat="1" ht="23.4" customHeight="1">
      <c r="A15" s="36" t="s">
        <v>27</v>
      </c>
      <c r="B15" s="27">
        <v>10</v>
      </c>
      <c r="C15" s="28">
        <f>+'3.Tasks'!C13</f>
        <v>0</v>
      </c>
      <c r="D15" s="29">
        <f>+'4.Team'!BO31+'4.Team'!BO40+'4.Team'!BO49</f>
        <v>0</v>
      </c>
      <c r="E15" s="30"/>
      <c r="F15" s="31" t="str">
        <f t="shared" si="3"/>
        <v>NA</v>
      </c>
      <c r="G15" s="32">
        <f ca="1">+'3.Tasks'!J13</f>
        <v>0</v>
      </c>
      <c r="H15" s="33">
        <f ca="1">+'3.Tasks'!K13</f>
        <v>0</v>
      </c>
      <c r="I15" s="33" t="e">
        <f ca="1">+'3.Tasks'!L13</f>
        <v>#N/A</v>
      </c>
      <c r="J15" s="33" t="e">
        <f ca="1">+'3.Tasks'!M13</f>
        <v>#N/A</v>
      </c>
      <c r="K15" s="33" t="e">
        <f ca="1">+'3.Tasks'!N13</f>
        <v>#N/A</v>
      </c>
      <c r="L15" s="33" t="e">
        <f ca="1">+'3.Tasks'!O13</f>
        <v>#N/A</v>
      </c>
      <c r="M15" s="33" t="e">
        <f ca="1">+'3.Tasks'!P13</f>
        <v>#N/A</v>
      </c>
      <c r="N15" s="33" t="e">
        <f ca="1">+'3.Tasks'!Q13</f>
        <v>#N/A</v>
      </c>
      <c r="O15" s="33" t="e">
        <f ca="1">+'3.Tasks'!R13</f>
        <v>#N/A</v>
      </c>
      <c r="P15" s="33" t="e">
        <f ca="1">+'3.Tasks'!S13</f>
        <v>#N/A</v>
      </c>
      <c r="Q15" s="33" t="e">
        <f ca="1">+'3.Tasks'!T13</f>
        <v>#N/A</v>
      </c>
      <c r="R15" s="34" t="e">
        <f ca="1">+'3.Tasks'!U13</f>
        <v>#N/A</v>
      </c>
      <c r="S15" s="35" t="e">
        <f ca="1">+'3.Tasks'!V13</f>
        <v>#N/A</v>
      </c>
      <c r="T15" s="33" t="e">
        <f ca="1">+'3.Tasks'!W13</f>
        <v>#N/A</v>
      </c>
      <c r="U15" s="33" t="e">
        <f ca="1">+'3.Tasks'!X13</f>
        <v>#N/A</v>
      </c>
      <c r="V15" s="33" t="e">
        <f ca="1">+'3.Tasks'!Y13</f>
        <v>#N/A</v>
      </c>
      <c r="W15" s="33" t="e">
        <f ca="1">+'3.Tasks'!Z13</f>
        <v>#N/A</v>
      </c>
      <c r="X15" s="33" t="e">
        <f ca="1">+'3.Tasks'!AA13</f>
        <v>#N/A</v>
      </c>
      <c r="Y15" s="33" t="e">
        <f ca="1">+'3.Tasks'!AB13</f>
        <v>#N/A</v>
      </c>
      <c r="Z15" s="33" t="e">
        <f ca="1">+'3.Tasks'!AC13</f>
        <v>#N/A</v>
      </c>
      <c r="AA15" s="33" t="e">
        <f ca="1">+'3.Tasks'!AD13</f>
        <v>#N/A</v>
      </c>
      <c r="AB15" s="33" t="e">
        <f ca="1">+'3.Tasks'!AE13</f>
        <v>#N/A</v>
      </c>
      <c r="AC15" s="33" t="e">
        <f ca="1">+'3.Tasks'!AF13</f>
        <v>#N/A</v>
      </c>
      <c r="AD15" s="34" t="e">
        <f ca="1">+'3.Tasks'!AG13</f>
        <v>#N/A</v>
      </c>
      <c r="AE15" s="35" t="e">
        <f ca="1">+'3.Tasks'!AH13</f>
        <v>#N/A</v>
      </c>
      <c r="AF15" s="33" t="e">
        <f ca="1">+'3.Tasks'!AI13</f>
        <v>#N/A</v>
      </c>
      <c r="AG15" s="33" t="e">
        <f ca="1">+'3.Tasks'!AJ13</f>
        <v>#N/A</v>
      </c>
      <c r="AH15" s="33" t="e">
        <f ca="1">+'3.Tasks'!AK13</f>
        <v>#N/A</v>
      </c>
      <c r="AI15" s="33" t="e">
        <f ca="1">+'3.Tasks'!AL13</f>
        <v>#N/A</v>
      </c>
      <c r="AJ15" s="33" t="e">
        <f ca="1">+'3.Tasks'!AM13</f>
        <v>#N/A</v>
      </c>
      <c r="AK15" s="33" t="e">
        <f ca="1">+'3.Tasks'!AN13</f>
        <v>#N/A</v>
      </c>
      <c r="AL15" s="33" t="e">
        <f ca="1">+'3.Tasks'!AO13</f>
        <v>#N/A</v>
      </c>
      <c r="AM15" s="33" t="e">
        <f ca="1">+'3.Tasks'!AP13</f>
        <v>#N/A</v>
      </c>
      <c r="AN15" s="33" t="e">
        <f ca="1">+'3.Tasks'!AQ13</f>
        <v>#N/A</v>
      </c>
      <c r="AO15" s="33" t="e">
        <f ca="1">+'3.Tasks'!AR13</f>
        <v>#N/A</v>
      </c>
      <c r="AP15" s="34" t="e">
        <f ca="1">+'3.Tasks'!AS13</f>
        <v>#N/A</v>
      </c>
      <c r="AQ15" s="35" t="e">
        <f ca="1">+'3.Tasks'!AT13</f>
        <v>#N/A</v>
      </c>
      <c r="AR15" s="33" t="e">
        <f ca="1">+'3.Tasks'!AU13</f>
        <v>#N/A</v>
      </c>
      <c r="AS15" s="33" t="e">
        <f ca="1">+'3.Tasks'!AV13</f>
        <v>#N/A</v>
      </c>
      <c r="AT15" s="33" t="e">
        <f ca="1">+'3.Tasks'!AW13</f>
        <v>#N/A</v>
      </c>
      <c r="AU15" s="33" t="e">
        <f ca="1">+'3.Tasks'!AX13</f>
        <v>#N/A</v>
      </c>
      <c r="AV15" s="33" t="e">
        <f ca="1">+'3.Tasks'!AY13</f>
        <v>#N/A</v>
      </c>
      <c r="AW15" s="33" t="e">
        <f ca="1">+'3.Tasks'!AZ13</f>
        <v>#N/A</v>
      </c>
      <c r="AX15" s="33" t="e">
        <f ca="1">+'3.Tasks'!BA13</f>
        <v>#N/A</v>
      </c>
      <c r="AY15" s="33" t="e">
        <f ca="1">+'3.Tasks'!BB13</f>
        <v>#N/A</v>
      </c>
      <c r="AZ15" s="33" t="e">
        <f ca="1">+'3.Tasks'!BC13</f>
        <v>#N/A</v>
      </c>
      <c r="BA15" s="33" t="e">
        <f ca="1">+'3.Tasks'!BD13</f>
        <v>#N/A</v>
      </c>
      <c r="BB15" s="34" t="e">
        <f ca="1">+'3.Tasks'!BE13</f>
        <v>#N/A</v>
      </c>
      <c r="BD15" s="265" t="str">
        <f>IF(SUMIF('4.Team'!$CG:$CG,'8.Timeline'!BD$5,'4.Team'!$BO:$BO)&gt;0,'8.Timeline'!BD$4,"")</f>
        <v/>
      </c>
      <c r="BE15" s="265" t="str">
        <f>IF(SUMIF('4.Team'!$CG:$CG,'8.Timeline'!BE$5,'4.Team'!$BO:$BO)&gt;0,'8.Timeline'!BE$4,"")</f>
        <v/>
      </c>
      <c r="BF15" s="265" t="str">
        <f>IF(SUMIF('4.Team'!$CG:$CG,'8.Timeline'!BF$5,'4.Team'!$BO:$BO)&gt;0,'8.Timeline'!BF$4,"")</f>
        <v/>
      </c>
      <c r="BG15" s="265" t="str">
        <f>IF(SUMIF('4.Team'!$CG:$CG,'8.Timeline'!BG$5,'4.Team'!$BO:$BO)&gt;0,'8.Timeline'!BG$4,"")</f>
        <v/>
      </c>
      <c r="BH15" s="265" t="str">
        <f>IF(SUMIF('4.Team'!$CG:$CG,'8.Timeline'!BH$5,'4.Team'!$BO:$BO)&gt;0,'8.Timeline'!BH$4,"")</f>
        <v/>
      </c>
      <c r="BI15" s="265" t="str">
        <f>IF(SUMIF('4.Team'!$CG:$CG,'8.Timeline'!BI$5,'4.Team'!$BO:$BO)&gt;0,'8.Timeline'!BI$4,"")</f>
        <v/>
      </c>
      <c r="BJ15" s="265" t="str">
        <f>IF(SUMIF('4.Team'!$CG:$CG,'8.Timeline'!BJ$5,'4.Team'!$BO:$BO)&gt;0,'8.Timeline'!BJ$4,"")</f>
        <v/>
      </c>
      <c r="BK15" s="265" t="str">
        <f>IF(SUMIF('4.Team'!$CG:$CG,'8.Timeline'!BK$5,'4.Team'!$BO:$BO)&gt;0,'8.Timeline'!BK$4,"")</f>
        <v/>
      </c>
      <c r="BL15" s="265" t="str">
        <f>IF(SUMIF('4.Team'!$CG:$CG,'8.Timeline'!BL$5,'4.Team'!$BO:$BO)&gt;0,'8.Timeline'!BL$4,"")</f>
        <v/>
      </c>
      <c r="BM15" s="265" t="str">
        <f>IF(SUMIF('4.Team'!$CG:$CG,'8.Timeline'!BM$5,'4.Team'!$BO:$BO)&gt;0,'8.Timeline'!BM$4,"")</f>
        <v/>
      </c>
      <c r="BN15" s="265" t="str">
        <f>IF(SUMIF('4.Team'!$CG:$CG,'8.Timeline'!BN$5,'4.Team'!$BO:$BO)&gt;0,'8.Timeline'!BN$4,"")</f>
        <v/>
      </c>
      <c r="BP15" s="36" t="str">
        <f>IF(C15=0,"",IF('4.Team'!$E$4="","",IF(E15="","Alert: Column E needs to be filled in",IF(F15="","Alert: This task has yet to be assigned to team members on the TEAM sheet",""))))</f>
        <v/>
      </c>
    </row>
    <row r="16" spans="1:68" s="36" customFormat="1" ht="23.4" customHeight="1">
      <c r="A16" s="36" t="s">
        <v>28</v>
      </c>
      <c r="B16" s="27">
        <v>11</v>
      </c>
      <c r="C16" s="28">
        <f>+'3.Tasks'!C14</f>
        <v>0</v>
      </c>
      <c r="D16" s="29">
        <f>+'4.Team'!BP31+'4.Team'!BP40+'4.Team'!BP49</f>
        <v>0</v>
      </c>
      <c r="E16" s="30"/>
      <c r="F16" s="31" t="str">
        <f t="shared" si="3"/>
        <v>NA</v>
      </c>
      <c r="G16" s="32">
        <f ca="1">+'3.Tasks'!J14</f>
        <v>0</v>
      </c>
      <c r="H16" s="33">
        <f ca="1">+'3.Tasks'!K14</f>
        <v>0</v>
      </c>
      <c r="I16" s="33" t="e">
        <f ca="1">+'3.Tasks'!L14</f>
        <v>#N/A</v>
      </c>
      <c r="J16" s="33" t="e">
        <f ca="1">+'3.Tasks'!M14</f>
        <v>#N/A</v>
      </c>
      <c r="K16" s="33" t="e">
        <f ca="1">+'3.Tasks'!N14</f>
        <v>#N/A</v>
      </c>
      <c r="L16" s="33" t="e">
        <f ca="1">+'3.Tasks'!O14</f>
        <v>#N/A</v>
      </c>
      <c r="M16" s="33" t="e">
        <f ca="1">+'3.Tasks'!P14</f>
        <v>#N/A</v>
      </c>
      <c r="N16" s="33" t="e">
        <f ca="1">+'3.Tasks'!Q14</f>
        <v>#N/A</v>
      </c>
      <c r="O16" s="33" t="e">
        <f ca="1">+'3.Tasks'!R14</f>
        <v>#N/A</v>
      </c>
      <c r="P16" s="33" t="e">
        <f ca="1">+'3.Tasks'!S14</f>
        <v>#N/A</v>
      </c>
      <c r="Q16" s="33" t="e">
        <f ca="1">+'3.Tasks'!T14</f>
        <v>#N/A</v>
      </c>
      <c r="R16" s="34" t="e">
        <f ca="1">+'3.Tasks'!U14</f>
        <v>#N/A</v>
      </c>
      <c r="S16" s="35" t="e">
        <f ca="1">+'3.Tasks'!V14</f>
        <v>#N/A</v>
      </c>
      <c r="T16" s="33" t="e">
        <f ca="1">+'3.Tasks'!W14</f>
        <v>#N/A</v>
      </c>
      <c r="U16" s="33" t="e">
        <f ca="1">+'3.Tasks'!X14</f>
        <v>#N/A</v>
      </c>
      <c r="V16" s="33" t="e">
        <f ca="1">+'3.Tasks'!Y14</f>
        <v>#N/A</v>
      </c>
      <c r="W16" s="33" t="e">
        <f ca="1">+'3.Tasks'!Z14</f>
        <v>#N/A</v>
      </c>
      <c r="X16" s="33" t="e">
        <f ca="1">+'3.Tasks'!AA14</f>
        <v>#N/A</v>
      </c>
      <c r="Y16" s="33" t="e">
        <f ca="1">+'3.Tasks'!AB14</f>
        <v>#N/A</v>
      </c>
      <c r="Z16" s="33" t="e">
        <f ca="1">+'3.Tasks'!AC14</f>
        <v>#N/A</v>
      </c>
      <c r="AA16" s="33" t="e">
        <f ca="1">+'3.Tasks'!AD14</f>
        <v>#N/A</v>
      </c>
      <c r="AB16" s="33" t="e">
        <f ca="1">+'3.Tasks'!AE14</f>
        <v>#N/A</v>
      </c>
      <c r="AC16" s="33" t="e">
        <f ca="1">+'3.Tasks'!AF14</f>
        <v>#N/A</v>
      </c>
      <c r="AD16" s="34" t="e">
        <f ca="1">+'3.Tasks'!AG14</f>
        <v>#N/A</v>
      </c>
      <c r="AE16" s="35" t="e">
        <f ca="1">+'3.Tasks'!AH14</f>
        <v>#N/A</v>
      </c>
      <c r="AF16" s="33" t="e">
        <f ca="1">+'3.Tasks'!AI14</f>
        <v>#N/A</v>
      </c>
      <c r="AG16" s="33" t="e">
        <f ca="1">+'3.Tasks'!AJ14</f>
        <v>#N/A</v>
      </c>
      <c r="AH16" s="33" t="e">
        <f ca="1">+'3.Tasks'!AK14</f>
        <v>#N/A</v>
      </c>
      <c r="AI16" s="33" t="e">
        <f ca="1">+'3.Tasks'!AL14</f>
        <v>#N/A</v>
      </c>
      <c r="AJ16" s="33" t="e">
        <f ca="1">+'3.Tasks'!AM14</f>
        <v>#N/A</v>
      </c>
      <c r="AK16" s="33" t="e">
        <f ca="1">+'3.Tasks'!AN14</f>
        <v>#N/A</v>
      </c>
      <c r="AL16" s="33" t="e">
        <f ca="1">+'3.Tasks'!AO14</f>
        <v>#N/A</v>
      </c>
      <c r="AM16" s="33" t="e">
        <f ca="1">+'3.Tasks'!AP14</f>
        <v>#N/A</v>
      </c>
      <c r="AN16" s="33" t="e">
        <f ca="1">+'3.Tasks'!AQ14</f>
        <v>#N/A</v>
      </c>
      <c r="AO16" s="33" t="e">
        <f ca="1">+'3.Tasks'!AR14</f>
        <v>#N/A</v>
      </c>
      <c r="AP16" s="34" t="e">
        <f ca="1">+'3.Tasks'!AS14</f>
        <v>#N/A</v>
      </c>
      <c r="AQ16" s="35" t="e">
        <f ca="1">+'3.Tasks'!AT14</f>
        <v>#N/A</v>
      </c>
      <c r="AR16" s="33" t="e">
        <f ca="1">+'3.Tasks'!AU14</f>
        <v>#N/A</v>
      </c>
      <c r="AS16" s="33" t="e">
        <f ca="1">+'3.Tasks'!AV14</f>
        <v>#N/A</v>
      </c>
      <c r="AT16" s="33" t="e">
        <f ca="1">+'3.Tasks'!AW14</f>
        <v>#N/A</v>
      </c>
      <c r="AU16" s="33" t="e">
        <f ca="1">+'3.Tasks'!AX14</f>
        <v>#N/A</v>
      </c>
      <c r="AV16" s="33" t="e">
        <f ca="1">+'3.Tasks'!AY14</f>
        <v>#N/A</v>
      </c>
      <c r="AW16" s="33" t="e">
        <f ca="1">+'3.Tasks'!AZ14</f>
        <v>#N/A</v>
      </c>
      <c r="AX16" s="33" t="e">
        <f ca="1">+'3.Tasks'!BA14</f>
        <v>#N/A</v>
      </c>
      <c r="AY16" s="33" t="e">
        <f ca="1">+'3.Tasks'!BB14</f>
        <v>#N/A</v>
      </c>
      <c r="AZ16" s="33" t="e">
        <f ca="1">+'3.Tasks'!BC14</f>
        <v>#N/A</v>
      </c>
      <c r="BA16" s="33" t="e">
        <f ca="1">+'3.Tasks'!BD14</f>
        <v>#N/A</v>
      </c>
      <c r="BB16" s="34" t="e">
        <f ca="1">+'3.Tasks'!BE14</f>
        <v>#N/A</v>
      </c>
      <c r="BD16" s="265" t="str">
        <f>IF(SUMIF('4.Team'!$CG:$CG,'8.Timeline'!BD$5,'4.Team'!$BP:$BP)&gt;0,'8.Timeline'!BD$4,"")</f>
        <v/>
      </c>
      <c r="BE16" s="265" t="str">
        <f>IF(SUMIF('4.Team'!$CG:$CG,'8.Timeline'!BE$5,'4.Team'!$BP:$BP)&gt;0,'8.Timeline'!BE$4,"")</f>
        <v/>
      </c>
      <c r="BF16" s="265" t="str">
        <f>IF(SUMIF('4.Team'!$CG:$CG,'8.Timeline'!BF$5,'4.Team'!$BP:$BP)&gt;0,'8.Timeline'!BF$4,"")</f>
        <v/>
      </c>
      <c r="BG16" s="265" t="str">
        <f>IF(SUMIF('4.Team'!$CG:$CG,'8.Timeline'!BG$5,'4.Team'!$BP:$BP)&gt;0,'8.Timeline'!BG$4,"")</f>
        <v/>
      </c>
      <c r="BH16" s="265" t="str">
        <f>IF(SUMIF('4.Team'!$CG:$CG,'8.Timeline'!BH$5,'4.Team'!$BP:$BP)&gt;0,'8.Timeline'!BH$4,"")</f>
        <v/>
      </c>
      <c r="BI16" s="265" t="str">
        <f>IF(SUMIF('4.Team'!$CG:$CG,'8.Timeline'!BI$5,'4.Team'!$BP:$BP)&gt;0,'8.Timeline'!BI$4,"")</f>
        <v/>
      </c>
      <c r="BJ16" s="265" t="str">
        <f>IF(SUMIF('4.Team'!$CG:$CG,'8.Timeline'!BJ$5,'4.Team'!$BP:$BP)&gt;0,'8.Timeline'!BJ$4,"")</f>
        <v/>
      </c>
      <c r="BK16" s="265" t="str">
        <f>IF(SUMIF('4.Team'!$CG:$CG,'8.Timeline'!BK$5,'4.Team'!$BP:$BP)&gt;0,'8.Timeline'!BK$4,"")</f>
        <v/>
      </c>
      <c r="BL16" s="265" t="str">
        <f>IF(SUMIF('4.Team'!$CG:$CG,'8.Timeline'!BL$5,'4.Team'!$BP:$BP)&gt;0,'8.Timeline'!BL$4,"")</f>
        <v/>
      </c>
      <c r="BM16" s="265" t="str">
        <f>IF(SUMIF('4.Team'!$CG:$CG,'8.Timeline'!BM$5,'4.Team'!$BP:$BP)&gt;0,'8.Timeline'!BM$4,"")</f>
        <v/>
      </c>
      <c r="BN16" s="265" t="str">
        <f>IF(SUMIF('4.Team'!$CG:$CG,'8.Timeline'!BN$5,'4.Team'!$BP:$BP)&gt;0,'8.Timeline'!BN$4,"")</f>
        <v/>
      </c>
      <c r="BP16" s="36" t="str">
        <f>IF(C16=0,"",IF('4.Team'!$E$4="","",IF(E16="","Alert: Column E needs to be filled in",IF(F16="","Alert: This task has yet to be assigned to team members on the TEAM sheet",""))))</f>
        <v/>
      </c>
    </row>
    <row r="17" spans="1:68" s="36" customFormat="1" ht="23.4" customHeight="1">
      <c r="A17" s="36" t="s">
        <v>29</v>
      </c>
      <c r="B17" s="27">
        <v>12</v>
      </c>
      <c r="C17" s="28">
        <f>+'3.Tasks'!C15</f>
        <v>0</v>
      </c>
      <c r="D17" s="29">
        <f>+'4.Team'!BQ31+'4.Team'!BQ40+'4.Team'!BQ49</f>
        <v>0</v>
      </c>
      <c r="E17" s="30"/>
      <c r="F17" s="31" t="str">
        <f t="shared" si="3"/>
        <v>NA</v>
      </c>
      <c r="G17" s="32">
        <f ca="1">+'3.Tasks'!J15</f>
        <v>0</v>
      </c>
      <c r="H17" s="33">
        <f ca="1">+'3.Tasks'!K15</f>
        <v>0</v>
      </c>
      <c r="I17" s="33" t="e">
        <f ca="1">+'3.Tasks'!L15</f>
        <v>#N/A</v>
      </c>
      <c r="J17" s="33" t="e">
        <f ca="1">+'3.Tasks'!M15</f>
        <v>#N/A</v>
      </c>
      <c r="K17" s="33" t="e">
        <f ca="1">+'3.Tasks'!N15</f>
        <v>#N/A</v>
      </c>
      <c r="L17" s="33" t="e">
        <f ca="1">+'3.Tasks'!O15</f>
        <v>#N/A</v>
      </c>
      <c r="M17" s="33" t="e">
        <f ca="1">+'3.Tasks'!P15</f>
        <v>#N/A</v>
      </c>
      <c r="N17" s="33" t="e">
        <f ca="1">+'3.Tasks'!Q15</f>
        <v>#N/A</v>
      </c>
      <c r="O17" s="33" t="e">
        <f ca="1">+'3.Tasks'!R15</f>
        <v>#N/A</v>
      </c>
      <c r="P17" s="33" t="e">
        <f ca="1">+'3.Tasks'!S15</f>
        <v>#N/A</v>
      </c>
      <c r="Q17" s="33" t="e">
        <f ca="1">+'3.Tasks'!T15</f>
        <v>#N/A</v>
      </c>
      <c r="R17" s="34" t="e">
        <f ca="1">+'3.Tasks'!U15</f>
        <v>#N/A</v>
      </c>
      <c r="S17" s="35" t="e">
        <f ca="1">+'3.Tasks'!V15</f>
        <v>#N/A</v>
      </c>
      <c r="T17" s="33" t="e">
        <f ca="1">+'3.Tasks'!W15</f>
        <v>#N/A</v>
      </c>
      <c r="U17" s="33" t="e">
        <f ca="1">+'3.Tasks'!X15</f>
        <v>#N/A</v>
      </c>
      <c r="V17" s="33" t="e">
        <f ca="1">+'3.Tasks'!Y15</f>
        <v>#N/A</v>
      </c>
      <c r="W17" s="33" t="e">
        <f ca="1">+'3.Tasks'!Z15</f>
        <v>#N/A</v>
      </c>
      <c r="X17" s="33" t="e">
        <f ca="1">+'3.Tasks'!AA15</f>
        <v>#N/A</v>
      </c>
      <c r="Y17" s="33" t="e">
        <f ca="1">+'3.Tasks'!AB15</f>
        <v>#N/A</v>
      </c>
      <c r="Z17" s="33" t="e">
        <f ca="1">+'3.Tasks'!AC15</f>
        <v>#N/A</v>
      </c>
      <c r="AA17" s="33" t="e">
        <f ca="1">+'3.Tasks'!AD15</f>
        <v>#N/A</v>
      </c>
      <c r="AB17" s="33" t="e">
        <f ca="1">+'3.Tasks'!AE15</f>
        <v>#N/A</v>
      </c>
      <c r="AC17" s="33" t="e">
        <f ca="1">+'3.Tasks'!AF15</f>
        <v>#N/A</v>
      </c>
      <c r="AD17" s="34" t="e">
        <f ca="1">+'3.Tasks'!AG15</f>
        <v>#N/A</v>
      </c>
      <c r="AE17" s="35" t="e">
        <f ca="1">+'3.Tasks'!AH15</f>
        <v>#N/A</v>
      </c>
      <c r="AF17" s="33" t="e">
        <f ca="1">+'3.Tasks'!AI15</f>
        <v>#N/A</v>
      </c>
      <c r="AG17" s="33" t="e">
        <f ca="1">+'3.Tasks'!AJ15</f>
        <v>#N/A</v>
      </c>
      <c r="AH17" s="33" t="e">
        <f ca="1">+'3.Tasks'!AK15</f>
        <v>#N/A</v>
      </c>
      <c r="AI17" s="33" t="e">
        <f ca="1">+'3.Tasks'!AL15</f>
        <v>#N/A</v>
      </c>
      <c r="AJ17" s="33" t="e">
        <f ca="1">+'3.Tasks'!AM15</f>
        <v>#N/A</v>
      </c>
      <c r="AK17" s="33" t="e">
        <f ca="1">+'3.Tasks'!AN15</f>
        <v>#N/A</v>
      </c>
      <c r="AL17" s="33" t="e">
        <f ca="1">+'3.Tasks'!AO15</f>
        <v>#N/A</v>
      </c>
      <c r="AM17" s="33" t="e">
        <f ca="1">+'3.Tasks'!AP15</f>
        <v>#N/A</v>
      </c>
      <c r="AN17" s="33" t="e">
        <f ca="1">+'3.Tasks'!AQ15</f>
        <v>#N/A</v>
      </c>
      <c r="AO17" s="33" t="e">
        <f ca="1">+'3.Tasks'!AR15</f>
        <v>#N/A</v>
      </c>
      <c r="AP17" s="34" t="e">
        <f ca="1">+'3.Tasks'!AS15</f>
        <v>#N/A</v>
      </c>
      <c r="AQ17" s="35" t="e">
        <f ca="1">+'3.Tasks'!AT15</f>
        <v>#N/A</v>
      </c>
      <c r="AR17" s="33" t="e">
        <f ca="1">+'3.Tasks'!AU15</f>
        <v>#N/A</v>
      </c>
      <c r="AS17" s="33" t="e">
        <f ca="1">+'3.Tasks'!AV15</f>
        <v>#N/A</v>
      </c>
      <c r="AT17" s="33" t="e">
        <f ca="1">+'3.Tasks'!AW15</f>
        <v>#N/A</v>
      </c>
      <c r="AU17" s="33" t="e">
        <f ca="1">+'3.Tasks'!AX15</f>
        <v>#N/A</v>
      </c>
      <c r="AV17" s="33" t="e">
        <f ca="1">+'3.Tasks'!AY15</f>
        <v>#N/A</v>
      </c>
      <c r="AW17" s="33" t="e">
        <f ca="1">+'3.Tasks'!AZ15</f>
        <v>#N/A</v>
      </c>
      <c r="AX17" s="33" t="e">
        <f ca="1">+'3.Tasks'!BA15</f>
        <v>#N/A</v>
      </c>
      <c r="AY17" s="33" t="e">
        <f ca="1">+'3.Tasks'!BB15</f>
        <v>#N/A</v>
      </c>
      <c r="AZ17" s="33" t="e">
        <f ca="1">+'3.Tasks'!BC15</f>
        <v>#N/A</v>
      </c>
      <c r="BA17" s="33" t="e">
        <f ca="1">+'3.Tasks'!BD15</f>
        <v>#N/A</v>
      </c>
      <c r="BB17" s="34" t="e">
        <f ca="1">+'3.Tasks'!BE15</f>
        <v>#N/A</v>
      </c>
      <c r="BD17" s="265" t="str">
        <f>IF(SUMIF('4.Team'!$CG:$CG,'8.Timeline'!BD$5,'4.Team'!$BQ:$BQ)&gt;0,'8.Timeline'!BD$4,"")</f>
        <v/>
      </c>
      <c r="BE17" s="265" t="str">
        <f>IF(SUMIF('4.Team'!$CG:$CG,'8.Timeline'!BE$5,'4.Team'!$BQ:$BQ)&gt;0,'8.Timeline'!BE$4,"")</f>
        <v/>
      </c>
      <c r="BF17" s="265" t="str">
        <f>IF(SUMIF('4.Team'!$CG:$CG,'8.Timeline'!BF$5,'4.Team'!$BQ:$BQ)&gt;0,'8.Timeline'!BF$4,"")</f>
        <v/>
      </c>
      <c r="BG17" s="265" t="str">
        <f>IF(SUMIF('4.Team'!$CG:$CG,'8.Timeline'!BG$5,'4.Team'!$BQ:$BQ)&gt;0,'8.Timeline'!BG$4,"")</f>
        <v/>
      </c>
      <c r="BH17" s="265" t="str">
        <f>IF(SUMIF('4.Team'!$CG:$CG,'8.Timeline'!BH$5,'4.Team'!$BQ:$BQ)&gt;0,'8.Timeline'!BH$4,"")</f>
        <v/>
      </c>
      <c r="BI17" s="265" t="str">
        <f>IF(SUMIF('4.Team'!$CG:$CG,'8.Timeline'!BI$5,'4.Team'!$BQ:$BQ)&gt;0,'8.Timeline'!BI$4,"")</f>
        <v/>
      </c>
      <c r="BJ17" s="265" t="str">
        <f>IF(SUMIF('4.Team'!$CG:$CG,'8.Timeline'!BJ$5,'4.Team'!$BQ:$BQ)&gt;0,'8.Timeline'!BJ$4,"")</f>
        <v/>
      </c>
      <c r="BK17" s="265" t="str">
        <f>IF(SUMIF('4.Team'!$CG:$CG,'8.Timeline'!BK$5,'4.Team'!$BQ:$BQ)&gt;0,'8.Timeline'!BK$4,"")</f>
        <v/>
      </c>
      <c r="BL17" s="265" t="str">
        <f>IF(SUMIF('4.Team'!$CG:$CG,'8.Timeline'!BL$5,'4.Team'!$BQ:$BQ)&gt;0,'8.Timeline'!BL$4,"")</f>
        <v/>
      </c>
      <c r="BM17" s="265" t="str">
        <f>IF(SUMIF('4.Team'!$CG:$CG,'8.Timeline'!BM$5,'4.Team'!$BQ:$BQ)&gt;0,'8.Timeline'!BM$4,"")</f>
        <v/>
      </c>
      <c r="BN17" s="265" t="str">
        <f>IF(SUMIF('4.Team'!$CG:$CG,'8.Timeline'!BN$5,'4.Team'!$BQ:$BQ)&gt;0,'8.Timeline'!BN$4,"")</f>
        <v/>
      </c>
      <c r="BP17" s="36" t="str">
        <f>IF(C17=0,"",IF('4.Team'!$E$4="","",IF(E17="","Alert: Column E needs to be filled in",IF(F17="","Alert: This task has yet to be assigned to team members on the TEAM sheet",""))))</f>
        <v/>
      </c>
    </row>
    <row r="18" spans="1:68" s="36" customFormat="1" ht="23.4" customHeight="1">
      <c r="A18" s="36" t="s">
        <v>30</v>
      </c>
      <c r="B18" s="27">
        <v>13</v>
      </c>
      <c r="C18" s="28">
        <f>+'3.Tasks'!C16</f>
        <v>0</v>
      </c>
      <c r="D18" s="29">
        <f>+'4.Team'!BR31+'4.Team'!BR40+'4.Team'!BR49</f>
        <v>0</v>
      </c>
      <c r="E18" s="30"/>
      <c r="F18" s="31" t="str">
        <f t="shared" si="3"/>
        <v>NA</v>
      </c>
      <c r="G18" s="32">
        <f ca="1">+'3.Tasks'!J16</f>
        <v>0</v>
      </c>
      <c r="H18" s="33">
        <f ca="1">+'3.Tasks'!K16</f>
        <v>0</v>
      </c>
      <c r="I18" s="33" t="e">
        <f ca="1">+'3.Tasks'!L16</f>
        <v>#N/A</v>
      </c>
      <c r="J18" s="33" t="e">
        <f ca="1">+'3.Tasks'!M16</f>
        <v>#N/A</v>
      </c>
      <c r="K18" s="33" t="e">
        <f ca="1">+'3.Tasks'!N16</f>
        <v>#N/A</v>
      </c>
      <c r="L18" s="33" t="e">
        <f ca="1">+'3.Tasks'!O16</f>
        <v>#N/A</v>
      </c>
      <c r="M18" s="33" t="e">
        <f ca="1">+'3.Tasks'!P16</f>
        <v>#N/A</v>
      </c>
      <c r="N18" s="33" t="e">
        <f ca="1">+'3.Tasks'!Q16</f>
        <v>#N/A</v>
      </c>
      <c r="O18" s="33" t="e">
        <f ca="1">+'3.Tasks'!R16</f>
        <v>#N/A</v>
      </c>
      <c r="P18" s="33" t="e">
        <f ca="1">+'3.Tasks'!S16</f>
        <v>#N/A</v>
      </c>
      <c r="Q18" s="33" t="e">
        <f ca="1">+'3.Tasks'!T16</f>
        <v>#N/A</v>
      </c>
      <c r="R18" s="34" t="e">
        <f ca="1">+'3.Tasks'!U16</f>
        <v>#N/A</v>
      </c>
      <c r="S18" s="35" t="e">
        <f ca="1">+'3.Tasks'!V16</f>
        <v>#N/A</v>
      </c>
      <c r="T18" s="33" t="e">
        <f ca="1">+'3.Tasks'!W16</f>
        <v>#N/A</v>
      </c>
      <c r="U18" s="33" t="e">
        <f ca="1">+'3.Tasks'!X16</f>
        <v>#N/A</v>
      </c>
      <c r="V18" s="33" t="e">
        <f ca="1">+'3.Tasks'!Y16</f>
        <v>#N/A</v>
      </c>
      <c r="W18" s="33" t="e">
        <f ca="1">+'3.Tasks'!Z16</f>
        <v>#N/A</v>
      </c>
      <c r="X18" s="33" t="e">
        <f ca="1">+'3.Tasks'!AA16</f>
        <v>#N/A</v>
      </c>
      <c r="Y18" s="33" t="e">
        <f ca="1">+'3.Tasks'!AB16</f>
        <v>#N/A</v>
      </c>
      <c r="Z18" s="33" t="e">
        <f ca="1">+'3.Tasks'!AC16</f>
        <v>#N/A</v>
      </c>
      <c r="AA18" s="33" t="e">
        <f ca="1">+'3.Tasks'!AD16</f>
        <v>#N/A</v>
      </c>
      <c r="AB18" s="33" t="e">
        <f ca="1">+'3.Tasks'!AE16</f>
        <v>#N/A</v>
      </c>
      <c r="AC18" s="33" t="e">
        <f ca="1">+'3.Tasks'!AF16</f>
        <v>#N/A</v>
      </c>
      <c r="AD18" s="34" t="e">
        <f ca="1">+'3.Tasks'!AG16</f>
        <v>#N/A</v>
      </c>
      <c r="AE18" s="35" t="e">
        <f ca="1">+'3.Tasks'!AH16</f>
        <v>#N/A</v>
      </c>
      <c r="AF18" s="33" t="e">
        <f ca="1">+'3.Tasks'!AI16</f>
        <v>#N/A</v>
      </c>
      <c r="AG18" s="33" t="e">
        <f ca="1">+'3.Tasks'!AJ16</f>
        <v>#N/A</v>
      </c>
      <c r="AH18" s="33" t="e">
        <f ca="1">+'3.Tasks'!AK16</f>
        <v>#N/A</v>
      </c>
      <c r="AI18" s="33" t="e">
        <f ca="1">+'3.Tasks'!AL16</f>
        <v>#N/A</v>
      </c>
      <c r="AJ18" s="33" t="e">
        <f ca="1">+'3.Tasks'!AM16</f>
        <v>#N/A</v>
      </c>
      <c r="AK18" s="33" t="e">
        <f ca="1">+'3.Tasks'!AN16</f>
        <v>#N/A</v>
      </c>
      <c r="AL18" s="33" t="e">
        <f ca="1">+'3.Tasks'!AO16</f>
        <v>#N/A</v>
      </c>
      <c r="AM18" s="33" t="e">
        <f ca="1">+'3.Tasks'!AP16</f>
        <v>#N/A</v>
      </c>
      <c r="AN18" s="33" t="e">
        <f ca="1">+'3.Tasks'!AQ16</f>
        <v>#N/A</v>
      </c>
      <c r="AO18" s="33" t="e">
        <f ca="1">+'3.Tasks'!AR16</f>
        <v>#N/A</v>
      </c>
      <c r="AP18" s="34" t="e">
        <f ca="1">+'3.Tasks'!AS16</f>
        <v>#N/A</v>
      </c>
      <c r="AQ18" s="35" t="e">
        <f ca="1">+'3.Tasks'!AT16</f>
        <v>#N/A</v>
      </c>
      <c r="AR18" s="33" t="e">
        <f ca="1">+'3.Tasks'!AU16</f>
        <v>#N/A</v>
      </c>
      <c r="AS18" s="33" t="e">
        <f ca="1">+'3.Tasks'!AV16</f>
        <v>#N/A</v>
      </c>
      <c r="AT18" s="33" t="e">
        <f ca="1">+'3.Tasks'!AW16</f>
        <v>#N/A</v>
      </c>
      <c r="AU18" s="33" t="e">
        <f ca="1">+'3.Tasks'!AX16</f>
        <v>#N/A</v>
      </c>
      <c r="AV18" s="33" t="e">
        <f ca="1">+'3.Tasks'!AY16</f>
        <v>#N/A</v>
      </c>
      <c r="AW18" s="33" t="e">
        <f ca="1">+'3.Tasks'!AZ16</f>
        <v>#N/A</v>
      </c>
      <c r="AX18" s="33" t="e">
        <f ca="1">+'3.Tasks'!BA16</f>
        <v>#N/A</v>
      </c>
      <c r="AY18" s="33" t="e">
        <f ca="1">+'3.Tasks'!BB16</f>
        <v>#N/A</v>
      </c>
      <c r="AZ18" s="33" t="e">
        <f ca="1">+'3.Tasks'!BC16</f>
        <v>#N/A</v>
      </c>
      <c r="BA18" s="33" t="e">
        <f ca="1">+'3.Tasks'!BD16</f>
        <v>#N/A</v>
      </c>
      <c r="BB18" s="34" t="e">
        <f ca="1">+'3.Tasks'!BE16</f>
        <v>#N/A</v>
      </c>
      <c r="BD18" s="265" t="str">
        <f>IF(SUMIF('4.Team'!$CG:$CG,'8.Timeline'!BD$5,'4.Team'!$BR:$BR)&gt;0,'8.Timeline'!BD$4,"")</f>
        <v/>
      </c>
      <c r="BE18" s="265" t="str">
        <f>IF(SUMIF('4.Team'!$CG:$CG,'8.Timeline'!BE$5,'4.Team'!$BR:$BR)&gt;0,'8.Timeline'!BE$4,"")</f>
        <v/>
      </c>
      <c r="BF18" s="265" t="str">
        <f>IF(SUMIF('4.Team'!$CG:$CG,'8.Timeline'!BF$5,'4.Team'!$BR:$BR)&gt;0,'8.Timeline'!BF$4,"")</f>
        <v/>
      </c>
      <c r="BG18" s="265" t="str">
        <f>IF(SUMIF('4.Team'!$CG:$CG,'8.Timeline'!BG$5,'4.Team'!$BR:$BR)&gt;0,'8.Timeline'!BG$4,"")</f>
        <v/>
      </c>
      <c r="BH18" s="265" t="str">
        <f>IF(SUMIF('4.Team'!$CG:$CG,'8.Timeline'!BH$5,'4.Team'!$BR:$BR)&gt;0,'8.Timeline'!BH$4,"")</f>
        <v/>
      </c>
      <c r="BI18" s="265" t="str">
        <f>IF(SUMIF('4.Team'!$CG:$CG,'8.Timeline'!BI$5,'4.Team'!$BR:$BR)&gt;0,'8.Timeline'!BI$4,"")</f>
        <v/>
      </c>
      <c r="BJ18" s="265" t="str">
        <f>IF(SUMIF('4.Team'!$CG:$CG,'8.Timeline'!BJ$5,'4.Team'!$BR:$BR)&gt;0,'8.Timeline'!BJ$4,"")</f>
        <v/>
      </c>
      <c r="BK18" s="265" t="str">
        <f>IF(SUMIF('4.Team'!$CG:$CG,'8.Timeline'!BK$5,'4.Team'!$BR:$BR)&gt;0,'8.Timeline'!BK$4,"")</f>
        <v/>
      </c>
      <c r="BL18" s="265" t="str">
        <f>IF(SUMIF('4.Team'!$CG:$CG,'8.Timeline'!BL$5,'4.Team'!$BR:$BR)&gt;0,'8.Timeline'!BL$4,"")</f>
        <v/>
      </c>
      <c r="BM18" s="265" t="str">
        <f>IF(SUMIF('4.Team'!$CG:$CG,'8.Timeline'!BM$5,'4.Team'!$BR:$BR)&gt;0,'8.Timeline'!BM$4,"")</f>
        <v/>
      </c>
      <c r="BN18" s="265" t="str">
        <f>IF(SUMIF('4.Team'!$CG:$CG,'8.Timeline'!BN$5,'4.Team'!$BR:$BR)&gt;0,'8.Timeline'!BN$4,"")</f>
        <v/>
      </c>
      <c r="BP18" s="36" t="str">
        <f>IF(C18=0,"",IF('4.Team'!$E$4="","",IF(E18="","Alert: Column E needs to be filled in",IF(F18="","Alert: This task has yet to be assigned to team members on the TEAM sheet",""))))</f>
        <v/>
      </c>
    </row>
    <row r="19" spans="1:68" s="36" customFormat="1" ht="23.4" customHeight="1">
      <c r="A19" s="36" t="s">
        <v>31</v>
      </c>
      <c r="B19" s="27">
        <v>14</v>
      </c>
      <c r="C19" s="28">
        <f>+'3.Tasks'!C17</f>
        <v>0</v>
      </c>
      <c r="D19" s="29">
        <f>+'4.Team'!BS31+'4.Team'!BS40+'4.Team'!BS49</f>
        <v>0</v>
      </c>
      <c r="E19" s="30"/>
      <c r="F19" s="31" t="str">
        <f t="shared" si="3"/>
        <v>NA</v>
      </c>
      <c r="G19" s="32">
        <f ca="1">+'3.Tasks'!J17</f>
        <v>0</v>
      </c>
      <c r="H19" s="33">
        <f ca="1">+'3.Tasks'!K17</f>
        <v>0</v>
      </c>
      <c r="I19" s="33" t="e">
        <f ca="1">+'3.Tasks'!L17</f>
        <v>#N/A</v>
      </c>
      <c r="J19" s="33" t="e">
        <f ca="1">+'3.Tasks'!M17</f>
        <v>#N/A</v>
      </c>
      <c r="K19" s="33" t="e">
        <f ca="1">+'3.Tasks'!N17</f>
        <v>#N/A</v>
      </c>
      <c r="L19" s="33" t="e">
        <f ca="1">+'3.Tasks'!O17</f>
        <v>#N/A</v>
      </c>
      <c r="M19" s="33" t="e">
        <f ca="1">+'3.Tasks'!P17</f>
        <v>#N/A</v>
      </c>
      <c r="N19" s="33" t="e">
        <f ca="1">+'3.Tasks'!Q17</f>
        <v>#N/A</v>
      </c>
      <c r="O19" s="33" t="e">
        <f ca="1">+'3.Tasks'!R17</f>
        <v>#N/A</v>
      </c>
      <c r="P19" s="33" t="e">
        <f ca="1">+'3.Tasks'!S17</f>
        <v>#N/A</v>
      </c>
      <c r="Q19" s="33" t="e">
        <f ca="1">+'3.Tasks'!T17</f>
        <v>#N/A</v>
      </c>
      <c r="R19" s="34" t="e">
        <f ca="1">+'3.Tasks'!U17</f>
        <v>#N/A</v>
      </c>
      <c r="S19" s="35" t="e">
        <f ca="1">+'3.Tasks'!V17</f>
        <v>#N/A</v>
      </c>
      <c r="T19" s="33" t="e">
        <f ca="1">+'3.Tasks'!W17</f>
        <v>#N/A</v>
      </c>
      <c r="U19" s="33" t="e">
        <f ca="1">+'3.Tasks'!X17</f>
        <v>#N/A</v>
      </c>
      <c r="V19" s="33" t="e">
        <f ca="1">+'3.Tasks'!Y17</f>
        <v>#N/A</v>
      </c>
      <c r="W19" s="33" t="e">
        <f ca="1">+'3.Tasks'!Z17</f>
        <v>#N/A</v>
      </c>
      <c r="X19" s="33" t="e">
        <f ca="1">+'3.Tasks'!AA17</f>
        <v>#N/A</v>
      </c>
      <c r="Y19" s="33" t="e">
        <f ca="1">+'3.Tasks'!AB17</f>
        <v>#N/A</v>
      </c>
      <c r="Z19" s="33" t="e">
        <f ca="1">+'3.Tasks'!AC17</f>
        <v>#N/A</v>
      </c>
      <c r="AA19" s="33" t="e">
        <f ca="1">+'3.Tasks'!AD17</f>
        <v>#N/A</v>
      </c>
      <c r="AB19" s="33" t="e">
        <f ca="1">+'3.Tasks'!AE17</f>
        <v>#N/A</v>
      </c>
      <c r="AC19" s="33" t="e">
        <f ca="1">+'3.Tasks'!AF17</f>
        <v>#N/A</v>
      </c>
      <c r="AD19" s="34" t="e">
        <f ca="1">+'3.Tasks'!AG17</f>
        <v>#N/A</v>
      </c>
      <c r="AE19" s="35" t="e">
        <f ca="1">+'3.Tasks'!AH17</f>
        <v>#N/A</v>
      </c>
      <c r="AF19" s="33" t="e">
        <f ca="1">+'3.Tasks'!AI17</f>
        <v>#N/A</v>
      </c>
      <c r="AG19" s="33" t="e">
        <f ca="1">+'3.Tasks'!AJ17</f>
        <v>#N/A</v>
      </c>
      <c r="AH19" s="33" t="e">
        <f ca="1">+'3.Tasks'!AK17</f>
        <v>#N/A</v>
      </c>
      <c r="AI19" s="33" t="e">
        <f ca="1">+'3.Tasks'!AL17</f>
        <v>#N/A</v>
      </c>
      <c r="AJ19" s="33" t="e">
        <f ca="1">+'3.Tasks'!AM17</f>
        <v>#N/A</v>
      </c>
      <c r="AK19" s="33" t="e">
        <f ca="1">+'3.Tasks'!AN17</f>
        <v>#N/A</v>
      </c>
      <c r="AL19" s="33" t="e">
        <f ca="1">+'3.Tasks'!AO17</f>
        <v>#N/A</v>
      </c>
      <c r="AM19" s="33" t="e">
        <f ca="1">+'3.Tasks'!AP17</f>
        <v>#N/A</v>
      </c>
      <c r="AN19" s="33" t="e">
        <f ca="1">+'3.Tasks'!AQ17</f>
        <v>#N/A</v>
      </c>
      <c r="AO19" s="33" t="e">
        <f ca="1">+'3.Tasks'!AR17</f>
        <v>#N/A</v>
      </c>
      <c r="AP19" s="34" t="e">
        <f ca="1">+'3.Tasks'!AS17</f>
        <v>#N/A</v>
      </c>
      <c r="AQ19" s="35" t="e">
        <f ca="1">+'3.Tasks'!AT17</f>
        <v>#N/A</v>
      </c>
      <c r="AR19" s="33" t="e">
        <f ca="1">+'3.Tasks'!AU17</f>
        <v>#N/A</v>
      </c>
      <c r="AS19" s="33" t="e">
        <f ca="1">+'3.Tasks'!AV17</f>
        <v>#N/A</v>
      </c>
      <c r="AT19" s="33" t="e">
        <f ca="1">+'3.Tasks'!AW17</f>
        <v>#N/A</v>
      </c>
      <c r="AU19" s="33" t="e">
        <f ca="1">+'3.Tasks'!AX17</f>
        <v>#N/A</v>
      </c>
      <c r="AV19" s="33" t="e">
        <f ca="1">+'3.Tasks'!AY17</f>
        <v>#N/A</v>
      </c>
      <c r="AW19" s="33" t="e">
        <f ca="1">+'3.Tasks'!AZ17</f>
        <v>#N/A</v>
      </c>
      <c r="AX19" s="33" t="e">
        <f ca="1">+'3.Tasks'!BA17</f>
        <v>#N/A</v>
      </c>
      <c r="AY19" s="33" t="e">
        <f ca="1">+'3.Tasks'!BB17</f>
        <v>#N/A</v>
      </c>
      <c r="AZ19" s="33" t="e">
        <f ca="1">+'3.Tasks'!BC17</f>
        <v>#N/A</v>
      </c>
      <c r="BA19" s="33" t="e">
        <f ca="1">+'3.Tasks'!BD17</f>
        <v>#N/A</v>
      </c>
      <c r="BB19" s="34" t="e">
        <f ca="1">+'3.Tasks'!BE17</f>
        <v>#N/A</v>
      </c>
      <c r="BD19" s="265" t="str">
        <f>IF(SUMIF('4.Team'!$CG:$CG,'8.Timeline'!BD$5,'4.Team'!$BS:$BS)&gt;0,'8.Timeline'!BD$4,"")</f>
        <v/>
      </c>
      <c r="BE19" s="265" t="str">
        <f>IF(SUMIF('4.Team'!$CG:$CG,'8.Timeline'!BE$5,'4.Team'!$BS:$BS)&gt;0,'8.Timeline'!BE$4,"")</f>
        <v/>
      </c>
      <c r="BF19" s="265" t="str">
        <f>IF(SUMIF('4.Team'!$CG:$CG,'8.Timeline'!BF$5,'4.Team'!$BS:$BS)&gt;0,'8.Timeline'!BF$4,"")</f>
        <v/>
      </c>
      <c r="BG19" s="265" t="str">
        <f>IF(SUMIF('4.Team'!$CG:$CG,'8.Timeline'!BG$5,'4.Team'!$BS:$BS)&gt;0,'8.Timeline'!BG$4,"")</f>
        <v/>
      </c>
      <c r="BH19" s="265" t="str">
        <f>IF(SUMIF('4.Team'!$CG:$CG,'8.Timeline'!BH$5,'4.Team'!$BS:$BS)&gt;0,'8.Timeline'!BH$4,"")</f>
        <v/>
      </c>
      <c r="BI19" s="265" t="str">
        <f>IF(SUMIF('4.Team'!$CG:$CG,'8.Timeline'!BI$5,'4.Team'!$BS:$BS)&gt;0,'8.Timeline'!BI$4,"")</f>
        <v/>
      </c>
      <c r="BJ19" s="265" t="str">
        <f>IF(SUMIF('4.Team'!$CG:$CG,'8.Timeline'!BJ$5,'4.Team'!$BS:$BS)&gt;0,'8.Timeline'!BJ$4,"")</f>
        <v/>
      </c>
      <c r="BK19" s="265" t="str">
        <f>IF(SUMIF('4.Team'!$CG:$CG,'8.Timeline'!BK$5,'4.Team'!$BS:$BS)&gt;0,'8.Timeline'!BK$4,"")</f>
        <v/>
      </c>
      <c r="BL19" s="265" t="str">
        <f>IF(SUMIF('4.Team'!$CG:$CG,'8.Timeline'!BL$5,'4.Team'!$BS:$BS)&gt;0,'8.Timeline'!BL$4,"")</f>
        <v/>
      </c>
      <c r="BM19" s="265" t="str">
        <f>IF(SUMIF('4.Team'!$CG:$CG,'8.Timeline'!BM$5,'4.Team'!$BS:$BS)&gt;0,'8.Timeline'!BM$4,"")</f>
        <v/>
      </c>
      <c r="BN19" s="265" t="str">
        <f>IF(SUMIF('4.Team'!$CG:$CG,'8.Timeline'!BN$5,'4.Team'!$BS:$BS)&gt;0,'8.Timeline'!BN$4,"")</f>
        <v/>
      </c>
      <c r="BP19" s="36" t="str">
        <f>IF(C19=0,"",IF('4.Team'!$E$4="","",IF(E19="","Alert: Column E needs to be filled in",IF(F19="","Alert: This task has yet to be assigned to team members on the TEAM sheet",""))))</f>
        <v/>
      </c>
    </row>
    <row r="20" spans="1:68" s="36" customFormat="1" ht="23.4" customHeight="1">
      <c r="A20" s="36" t="s">
        <v>32</v>
      </c>
      <c r="B20" s="27">
        <v>15</v>
      </c>
      <c r="C20" s="28">
        <f>+'3.Tasks'!C18</f>
        <v>0</v>
      </c>
      <c r="D20" s="29">
        <f>+'4.Team'!BT31+'4.Team'!BT40+'4.Team'!BT49</f>
        <v>0</v>
      </c>
      <c r="E20" s="30"/>
      <c r="F20" s="31" t="str">
        <f t="shared" si="3"/>
        <v>NA</v>
      </c>
      <c r="G20" s="32">
        <f ca="1">+'3.Tasks'!J18</f>
        <v>0</v>
      </c>
      <c r="H20" s="33">
        <f ca="1">+'3.Tasks'!K18</f>
        <v>0</v>
      </c>
      <c r="I20" s="33" t="e">
        <f ca="1">+'3.Tasks'!L18</f>
        <v>#N/A</v>
      </c>
      <c r="J20" s="33" t="e">
        <f ca="1">+'3.Tasks'!M18</f>
        <v>#N/A</v>
      </c>
      <c r="K20" s="33" t="e">
        <f ca="1">+'3.Tasks'!N18</f>
        <v>#N/A</v>
      </c>
      <c r="L20" s="33" t="e">
        <f ca="1">+'3.Tasks'!O18</f>
        <v>#N/A</v>
      </c>
      <c r="M20" s="33" t="e">
        <f ca="1">+'3.Tasks'!P18</f>
        <v>#N/A</v>
      </c>
      <c r="N20" s="33" t="e">
        <f ca="1">+'3.Tasks'!Q18</f>
        <v>#N/A</v>
      </c>
      <c r="O20" s="33" t="e">
        <f ca="1">+'3.Tasks'!R18</f>
        <v>#N/A</v>
      </c>
      <c r="P20" s="33" t="e">
        <f ca="1">+'3.Tasks'!S18</f>
        <v>#N/A</v>
      </c>
      <c r="Q20" s="33" t="e">
        <f ca="1">+'3.Tasks'!T18</f>
        <v>#N/A</v>
      </c>
      <c r="R20" s="34" t="e">
        <f ca="1">+'3.Tasks'!U18</f>
        <v>#N/A</v>
      </c>
      <c r="S20" s="35" t="e">
        <f ca="1">+'3.Tasks'!V18</f>
        <v>#N/A</v>
      </c>
      <c r="T20" s="33" t="e">
        <f ca="1">+'3.Tasks'!W18</f>
        <v>#N/A</v>
      </c>
      <c r="U20" s="33" t="e">
        <f ca="1">+'3.Tasks'!X18</f>
        <v>#N/A</v>
      </c>
      <c r="V20" s="33" t="e">
        <f ca="1">+'3.Tasks'!Y18</f>
        <v>#N/A</v>
      </c>
      <c r="W20" s="33" t="e">
        <f ca="1">+'3.Tasks'!Z18</f>
        <v>#N/A</v>
      </c>
      <c r="X20" s="33" t="e">
        <f ca="1">+'3.Tasks'!AA18</f>
        <v>#N/A</v>
      </c>
      <c r="Y20" s="33" t="e">
        <f ca="1">+'3.Tasks'!AB18</f>
        <v>#N/A</v>
      </c>
      <c r="Z20" s="33" t="e">
        <f ca="1">+'3.Tasks'!AC18</f>
        <v>#N/A</v>
      </c>
      <c r="AA20" s="33" t="e">
        <f ca="1">+'3.Tasks'!AD18</f>
        <v>#N/A</v>
      </c>
      <c r="AB20" s="33" t="e">
        <f ca="1">+'3.Tasks'!AE18</f>
        <v>#N/A</v>
      </c>
      <c r="AC20" s="33" t="e">
        <f ca="1">+'3.Tasks'!AF18</f>
        <v>#N/A</v>
      </c>
      <c r="AD20" s="34" t="e">
        <f ca="1">+'3.Tasks'!AG18</f>
        <v>#N/A</v>
      </c>
      <c r="AE20" s="35" t="e">
        <f ca="1">+'3.Tasks'!AH18</f>
        <v>#N/A</v>
      </c>
      <c r="AF20" s="33" t="e">
        <f ca="1">+'3.Tasks'!AI18</f>
        <v>#N/A</v>
      </c>
      <c r="AG20" s="33" t="e">
        <f ca="1">+'3.Tasks'!AJ18</f>
        <v>#N/A</v>
      </c>
      <c r="AH20" s="33" t="e">
        <f ca="1">+'3.Tasks'!AK18</f>
        <v>#N/A</v>
      </c>
      <c r="AI20" s="33" t="e">
        <f ca="1">+'3.Tasks'!AL18</f>
        <v>#N/A</v>
      </c>
      <c r="AJ20" s="33" t="e">
        <f ca="1">+'3.Tasks'!AM18</f>
        <v>#N/A</v>
      </c>
      <c r="AK20" s="33" t="e">
        <f ca="1">+'3.Tasks'!AN18</f>
        <v>#N/A</v>
      </c>
      <c r="AL20" s="33" t="e">
        <f ca="1">+'3.Tasks'!AO18</f>
        <v>#N/A</v>
      </c>
      <c r="AM20" s="33" t="e">
        <f ca="1">+'3.Tasks'!AP18</f>
        <v>#N/A</v>
      </c>
      <c r="AN20" s="33" t="e">
        <f ca="1">+'3.Tasks'!AQ18</f>
        <v>#N/A</v>
      </c>
      <c r="AO20" s="33" t="e">
        <f ca="1">+'3.Tasks'!AR18</f>
        <v>#N/A</v>
      </c>
      <c r="AP20" s="34" t="e">
        <f ca="1">+'3.Tasks'!AS18</f>
        <v>#N/A</v>
      </c>
      <c r="AQ20" s="35" t="e">
        <f ca="1">+'3.Tasks'!AT18</f>
        <v>#N/A</v>
      </c>
      <c r="AR20" s="33" t="e">
        <f ca="1">+'3.Tasks'!AU18</f>
        <v>#N/A</v>
      </c>
      <c r="AS20" s="33" t="e">
        <f ca="1">+'3.Tasks'!AV18</f>
        <v>#N/A</v>
      </c>
      <c r="AT20" s="33" t="e">
        <f ca="1">+'3.Tasks'!AW18</f>
        <v>#N/A</v>
      </c>
      <c r="AU20" s="33" t="e">
        <f ca="1">+'3.Tasks'!AX18</f>
        <v>#N/A</v>
      </c>
      <c r="AV20" s="33" t="e">
        <f ca="1">+'3.Tasks'!AY18</f>
        <v>#N/A</v>
      </c>
      <c r="AW20" s="33" t="e">
        <f ca="1">+'3.Tasks'!AZ18</f>
        <v>#N/A</v>
      </c>
      <c r="AX20" s="33" t="e">
        <f ca="1">+'3.Tasks'!BA18</f>
        <v>#N/A</v>
      </c>
      <c r="AY20" s="33" t="e">
        <f ca="1">+'3.Tasks'!BB18</f>
        <v>#N/A</v>
      </c>
      <c r="AZ20" s="33" t="e">
        <f ca="1">+'3.Tasks'!BC18</f>
        <v>#N/A</v>
      </c>
      <c r="BA20" s="33" t="e">
        <f ca="1">+'3.Tasks'!BD18</f>
        <v>#N/A</v>
      </c>
      <c r="BB20" s="34" t="e">
        <f ca="1">+'3.Tasks'!BE18</f>
        <v>#N/A</v>
      </c>
      <c r="BD20" s="265" t="str">
        <f>IF(SUMIF('4.Team'!$CG:$CG,'8.Timeline'!BD$5,'4.Team'!$BT:$BT)&gt;0,'8.Timeline'!BD$4,"")</f>
        <v/>
      </c>
      <c r="BE20" s="265" t="str">
        <f>IF(SUMIF('4.Team'!$CG:$CG,'8.Timeline'!BE$5,'4.Team'!$BT:$BT)&gt;0,'8.Timeline'!BE$4,"")</f>
        <v/>
      </c>
      <c r="BF20" s="265" t="str">
        <f>IF(SUMIF('4.Team'!$CG:$CG,'8.Timeline'!BF$5,'4.Team'!$BT:$BT)&gt;0,'8.Timeline'!BF$4,"")</f>
        <v/>
      </c>
      <c r="BG20" s="265" t="str">
        <f>IF(SUMIF('4.Team'!$CG:$CG,'8.Timeline'!BG$5,'4.Team'!$BT:$BT)&gt;0,'8.Timeline'!BG$4,"")</f>
        <v/>
      </c>
      <c r="BH20" s="265" t="str">
        <f>IF(SUMIF('4.Team'!$CG:$CG,'8.Timeline'!BH$5,'4.Team'!$BT:$BT)&gt;0,'8.Timeline'!BH$4,"")</f>
        <v/>
      </c>
      <c r="BI20" s="265" t="str">
        <f>IF(SUMIF('4.Team'!$CG:$CG,'8.Timeline'!BI$5,'4.Team'!$BT:$BT)&gt;0,'8.Timeline'!BI$4,"")</f>
        <v/>
      </c>
      <c r="BJ20" s="265" t="str">
        <f>IF(SUMIF('4.Team'!$CG:$CG,'8.Timeline'!BJ$5,'4.Team'!$BT:$BT)&gt;0,'8.Timeline'!BJ$4,"")</f>
        <v/>
      </c>
      <c r="BK20" s="265" t="str">
        <f>IF(SUMIF('4.Team'!$CG:$CG,'8.Timeline'!BK$5,'4.Team'!$BT:$BT)&gt;0,'8.Timeline'!BK$4,"")</f>
        <v/>
      </c>
      <c r="BL20" s="265" t="str">
        <f>IF(SUMIF('4.Team'!$CG:$CG,'8.Timeline'!BL$5,'4.Team'!$BT:$BT)&gt;0,'8.Timeline'!BL$4,"")</f>
        <v/>
      </c>
      <c r="BM20" s="265" t="str">
        <f>IF(SUMIF('4.Team'!$CG:$CG,'8.Timeline'!BM$5,'4.Team'!$BT:$BT)&gt;0,'8.Timeline'!BM$4,"")</f>
        <v/>
      </c>
      <c r="BN20" s="265" t="str">
        <f>IF(SUMIF('4.Team'!$CG:$CG,'8.Timeline'!BN$5,'4.Team'!$BT:$BT)&gt;0,'8.Timeline'!BN$4,"")</f>
        <v/>
      </c>
      <c r="BP20" s="36" t="str">
        <f>IF(C20=0,"",IF('4.Team'!$E$4="","",IF(E20="","Alert: Column E needs to be filled in",IF(F20="","Alert: This task has yet to be assigned to team members on the TEAM sheet",""))))</f>
        <v/>
      </c>
    </row>
    <row r="21" spans="1:68" s="36" customFormat="1" ht="23.4" hidden="1" customHeight="1">
      <c r="A21" s="36" t="s">
        <v>33</v>
      </c>
      <c r="B21" s="27">
        <v>16</v>
      </c>
      <c r="C21" s="28">
        <f>+'3.Tasks'!C19</f>
        <v>0</v>
      </c>
      <c r="D21" s="29">
        <f>+'4.Team'!BU31+'4.Team'!BU40+'4.Team'!BU49</f>
        <v>0</v>
      </c>
      <c r="E21" s="30"/>
      <c r="F21" s="31" t="str">
        <f t="shared" si="3"/>
        <v>NA</v>
      </c>
      <c r="G21" s="32">
        <f ca="1">+'3.Tasks'!J19</f>
        <v>0</v>
      </c>
      <c r="H21" s="33">
        <f ca="1">+'3.Tasks'!K19</f>
        <v>0</v>
      </c>
      <c r="I21" s="33" t="e">
        <f ca="1">+'3.Tasks'!L19</f>
        <v>#N/A</v>
      </c>
      <c r="J21" s="33" t="e">
        <f ca="1">+'3.Tasks'!M19</f>
        <v>#N/A</v>
      </c>
      <c r="K21" s="33" t="e">
        <f ca="1">+'3.Tasks'!N19</f>
        <v>#N/A</v>
      </c>
      <c r="L21" s="33" t="e">
        <f ca="1">+'3.Tasks'!O19</f>
        <v>#N/A</v>
      </c>
      <c r="M21" s="33" t="e">
        <f ca="1">+'3.Tasks'!P19</f>
        <v>#N/A</v>
      </c>
      <c r="N21" s="33" t="e">
        <f ca="1">+'3.Tasks'!Q19</f>
        <v>#N/A</v>
      </c>
      <c r="O21" s="33" t="e">
        <f ca="1">+'3.Tasks'!R19</f>
        <v>#N/A</v>
      </c>
      <c r="P21" s="33" t="e">
        <f ca="1">+'3.Tasks'!S19</f>
        <v>#N/A</v>
      </c>
      <c r="Q21" s="33" t="e">
        <f ca="1">+'3.Tasks'!T19</f>
        <v>#N/A</v>
      </c>
      <c r="R21" s="34" t="e">
        <f ca="1">+'3.Tasks'!U19</f>
        <v>#N/A</v>
      </c>
      <c r="S21" s="35" t="e">
        <f ca="1">+'3.Tasks'!V19</f>
        <v>#N/A</v>
      </c>
      <c r="T21" s="33" t="e">
        <f ca="1">+'3.Tasks'!W19</f>
        <v>#N/A</v>
      </c>
      <c r="U21" s="33" t="e">
        <f ca="1">+'3.Tasks'!X19</f>
        <v>#N/A</v>
      </c>
      <c r="V21" s="33" t="e">
        <f ca="1">+'3.Tasks'!Y19</f>
        <v>#N/A</v>
      </c>
      <c r="W21" s="33" t="e">
        <f ca="1">+'3.Tasks'!Z19</f>
        <v>#N/A</v>
      </c>
      <c r="X21" s="33" t="e">
        <f ca="1">+'3.Tasks'!AA19</f>
        <v>#N/A</v>
      </c>
      <c r="Y21" s="33" t="e">
        <f ca="1">+'3.Tasks'!AB19</f>
        <v>#N/A</v>
      </c>
      <c r="Z21" s="33" t="e">
        <f ca="1">+'3.Tasks'!AC19</f>
        <v>#N/A</v>
      </c>
      <c r="AA21" s="33" t="e">
        <f ca="1">+'3.Tasks'!AD19</f>
        <v>#N/A</v>
      </c>
      <c r="AB21" s="33" t="e">
        <f ca="1">+'3.Tasks'!AE19</f>
        <v>#N/A</v>
      </c>
      <c r="AC21" s="33" t="e">
        <f ca="1">+'3.Tasks'!AF19</f>
        <v>#N/A</v>
      </c>
      <c r="AD21" s="34" t="e">
        <f ca="1">+'3.Tasks'!AG19</f>
        <v>#N/A</v>
      </c>
      <c r="AE21" s="35" t="e">
        <f ca="1">+'3.Tasks'!AH19</f>
        <v>#N/A</v>
      </c>
      <c r="AF21" s="33" t="e">
        <f ca="1">+'3.Tasks'!AI19</f>
        <v>#N/A</v>
      </c>
      <c r="AG21" s="33" t="e">
        <f ca="1">+'3.Tasks'!AJ19</f>
        <v>#N/A</v>
      </c>
      <c r="AH21" s="33" t="e">
        <f ca="1">+'3.Tasks'!AK19</f>
        <v>#N/A</v>
      </c>
      <c r="AI21" s="33" t="e">
        <f ca="1">+'3.Tasks'!AL19</f>
        <v>#N/A</v>
      </c>
      <c r="AJ21" s="33" t="e">
        <f ca="1">+'3.Tasks'!AM19</f>
        <v>#N/A</v>
      </c>
      <c r="AK21" s="33" t="e">
        <f ca="1">+'3.Tasks'!AN19</f>
        <v>#N/A</v>
      </c>
      <c r="AL21" s="33" t="e">
        <f ca="1">+'3.Tasks'!AO19</f>
        <v>#N/A</v>
      </c>
      <c r="AM21" s="33" t="e">
        <f ca="1">+'3.Tasks'!AP19</f>
        <v>#N/A</v>
      </c>
      <c r="AN21" s="33" t="e">
        <f ca="1">+'3.Tasks'!AQ19</f>
        <v>#N/A</v>
      </c>
      <c r="AO21" s="33" t="e">
        <f ca="1">+'3.Tasks'!AR19</f>
        <v>#N/A</v>
      </c>
      <c r="AP21" s="34" t="e">
        <f ca="1">+'3.Tasks'!AS19</f>
        <v>#N/A</v>
      </c>
      <c r="AQ21" s="35"/>
      <c r="AR21" s="33"/>
      <c r="AS21" s="33"/>
      <c r="AT21" s="33"/>
      <c r="AU21" s="33"/>
      <c r="AV21" s="33"/>
      <c r="AW21" s="33"/>
      <c r="AX21" s="33"/>
      <c r="AY21" s="33"/>
      <c r="AZ21" s="33"/>
      <c r="BA21" s="33"/>
      <c r="BB21" s="34"/>
      <c r="BD21" s="265" t="str">
        <f>IF(SUMIF('4.Team'!$CG:$CG,'8.Timeline'!BD$5,'4.Team'!$BU:$BU)&gt;0,'8.Timeline'!BD$4,"")</f>
        <v/>
      </c>
      <c r="BE21" s="265" t="str">
        <f>IF(SUMIF('4.Team'!$CG:$CG,'8.Timeline'!BE$5,'4.Team'!$BU:$BU)&gt;0,'8.Timeline'!BE$4,"")</f>
        <v/>
      </c>
      <c r="BF21" s="265" t="str">
        <f>IF(SUMIF('4.Team'!$CG:$CG,'8.Timeline'!BF$5,'4.Team'!$BU:$BU)&gt;0,'8.Timeline'!BF$4,"")</f>
        <v/>
      </c>
      <c r="BG21" s="265" t="str">
        <f>IF(SUMIF('4.Team'!$CG:$CG,'8.Timeline'!BG$5,'4.Team'!$BU:$BU)&gt;0,'8.Timeline'!BG$4,"")</f>
        <v/>
      </c>
      <c r="BH21" s="265" t="str">
        <f>IF(SUMIF('4.Team'!$CG:$CG,'8.Timeline'!BH$5,'4.Team'!$BU:$BU)&gt;0,'8.Timeline'!BH$4,"")</f>
        <v/>
      </c>
      <c r="BI21" s="265" t="str">
        <f>IF(SUMIF('4.Team'!$CG:$CG,'8.Timeline'!BI$5,'4.Team'!$BU:$BU)&gt;0,'8.Timeline'!BI$4,"")</f>
        <v/>
      </c>
      <c r="BJ21" s="265" t="str">
        <f>IF(SUMIF('4.Team'!$CG:$CG,'8.Timeline'!BJ$5,'4.Team'!$BU:$BU)&gt;0,'8.Timeline'!BJ$4,"")</f>
        <v/>
      </c>
      <c r="BK21" s="265" t="str">
        <f>IF(SUMIF('4.Team'!$CG:$CG,'8.Timeline'!BK$5,'4.Team'!$BU:$BU)&gt;0,'8.Timeline'!BK$4,"")</f>
        <v/>
      </c>
      <c r="BL21" s="265" t="str">
        <f>IF(SUMIF('4.Team'!$CG:$CG,'8.Timeline'!BL$5,'4.Team'!$BU:$BU)&gt;0,'8.Timeline'!BL$4,"")</f>
        <v/>
      </c>
      <c r="BM21" s="265" t="str">
        <f>IF(SUMIF('4.Team'!$CG:$CG,'8.Timeline'!BM$5,'4.Team'!$BU:$BU)&gt;0,'8.Timeline'!BM$4,"")</f>
        <v/>
      </c>
      <c r="BN21" s="265" t="str">
        <f>IF(SUMIF('4.Team'!$CG:$CG,'8.Timeline'!BN$5,'4.Team'!$BU:$BU)&gt;0,'8.Timeline'!BN$4,"")</f>
        <v/>
      </c>
      <c r="BP21" s="36" t="str">
        <f>IF(C21=0,"",IF('4.Team'!$E$4="","",IF(E21="","Alert: Column E needs to be filled in",IF(F21="","Alert: This task has yet to be assigned to team members on the TEAM sheet",""))))</f>
        <v/>
      </c>
    </row>
    <row r="22" spans="1:68" s="36" customFormat="1" ht="23.4" hidden="1" customHeight="1">
      <c r="A22" s="36" t="s">
        <v>34</v>
      </c>
      <c r="B22" s="27">
        <v>17</v>
      </c>
      <c r="C22" s="28">
        <f>+'3.Tasks'!C20</f>
        <v>0</v>
      </c>
      <c r="D22" s="29">
        <f>+'4.Team'!BV31+'4.Team'!BV40+'4.Team'!BV49</f>
        <v>0</v>
      </c>
      <c r="E22" s="30"/>
      <c r="F22" s="31" t="str">
        <f t="shared" si="3"/>
        <v>NA</v>
      </c>
      <c r="G22" s="32">
        <f ca="1">+'3.Tasks'!J20</f>
        <v>0</v>
      </c>
      <c r="H22" s="33">
        <f ca="1">+'3.Tasks'!K20</f>
        <v>0</v>
      </c>
      <c r="I22" s="33" t="e">
        <f ca="1">+'3.Tasks'!L20</f>
        <v>#N/A</v>
      </c>
      <c r="J22" s="33" t="e">
        <f ca="1">+'3.Tasks'!M20</f>
        <v>#N/A</v>
      </c>
      <c r="K22" s="33" t="e">
        <f ca="1">+'3.Tasks'!N20</f>
        <v>#N/A</v>
      </c>
      <c r="L22" s="33" t="e">
        <f ca="1">+'3.Tasks'!O20</f>
        <v>#N/A</v>
      </c>
      <c r="M22" s="33" t="e">
        <f ca="1">+'3.Tasks'!P20</f>
        <v>#N/A</v>
      </c>
      <c r="N22" s="33" t="e">
        <f ca="1">+'3.Tasks'!Q20</f>
        <v>#N/A</v>
      </c>
      <c r="O22" s="33" t="e">
        <f ca="1">+'3.Tasks'!R20</f>
        <v>#N/A</v>
      </c>
      <c r="P22" s="33" t="e">
        <f ca="1">+'3.Tasks'!S20</f>
        <v>#N/A</v>
      </c>
      <c r="Q22" s="33" t="e">
        <f ca="1">+'3.Tasks'!T20</f>
        <v>#N/A</v>
      </c>
      <c r="R22" s="34" t="e">
        <f ca="1">+'3.Tasks'!U20</f>
        <v>#N/A</v>
      </c>
      <c r="S22" s="35" t="e">
        <f ca="1">+'3.Tasks'!V20</f>
        <v>#N/A</v>
      </c>
      <c r="T22" s="33" t="e">
        <f ca="1">+'3.Tasks'!W20</f>
        <v>#N/A</v>
      </c>
      <c r="U22" s="33" t="e">
        <f ca="1">+'3.Tasks'!X20</f>
        <v>#N/A</v>
      </c>
      <c r="V22" s="33" t="e">
        <f ca="1">+'3.Tasks'!Y20</f>
        <v>#N/A</v>
      </c>
      <c r="W22" s="33" t="e">
        <f ca="1">+'3.Tasks'!Z20</f>
        <v>#N/A</v>
      </c>
      <c r="X22" s="33" t="e">
        <f ca="1">+'3.Tasks'!AA20</f>
        <v>#N/A</v>
      </c>
      <c r="Y22" s="33" t="e">
        <f ca="1">+'3.Tasks'!AB20</f>
        <v>#N/A</v>
      </c>
      <c r="Z22" s="33" t="e">
        <f ca="1">+'3.Tasks'!AC20</f>
        <v>#N/A</v>
      </c>
      <c r="AA22" s="33" t="e">
        <f ca="1">+'3.Tasks'!AD20</f>
        <v>#N/A</v>
      </c>
      <c r="AB22" s="33" t="e">
        <f ca="1">+'3.Tasks'!AE20</f>
        <v>#N/A</v>
      </c>
      <c r="AC22" s="33" t="e">
        <f ca="1">+'3.Tasks'!AF20</f>
        <v>#N/A</v>
      </c>
      <c r="AD22" s="34" t="e">
        <f ca="1">+'3.Tasks'!AG20</f>
        <v>#N/A</v>
      </c>
      <c r="AE22" s="35" t="e">
        <f ca="1">+'3.Tasks'!AH20</f>
        <v>#N/A</v>
      </c>
      <c r="AF22" s="33" t="e">
        <f ca="1">+'3.Tasks'!AI20</f>
        <v>#N/A</v>
      </c>
      <c r="AG22" s="33" t="e">
        <f ca="1">+'3.Tasks'!AJ20</f>
        <v>#N/A</v>
      </c>
      <c r="AH22" s="33" t="e">
        <f ca="1">+'3.Tasks'!AK20</f>
        <v>#N/A</v>
      </c>
      <c r="AI22" s="33" t="e">
        <f ca="1">+'3.Tasks'!AL20</f>
        <v>#N/A</v>
      </c>
      <c r="AJ22" s="33" t="e">
        <f ca="1">+'3.Tasks'!AM20</f>
        <v>#N/A</v>
      </c>
      <c r="AK22" s="33" t="e">
        <f ca="1">+'3.Tasks'!AN20</f>
        <v>#N/A</v>
      </c>
      <c r="AL22" s="33" t="e">
        <f ca="1">+'3.Tasks'!AO20</f>
        <v>#N/A</v>
      </c>
      <c r="AM22" s="33" t="e">
        <f ca="1">+'3.Tasks'!AP20</f>
        <v>#N/A</v>
      </c>
      <c r="AN22" s="33" t="e">
        <f ca="1">+'3.Tasks'!AQ20</f>
        <v>#N/A</v>
      </c>
      <c r="AO22" s="33" t="e">
        <f ca="1">+'3.Tasks'!AR20</f>
        <v>#N/A</v>
      </c>
      <c r="AP22" s="34" t="e">
        <f ca="1">+'3.Tasks'!AS20</f>
        <v>#N/A</v>
      </c>
      <c r="AQ22" s="35"/>
      <c r="AR22" s="33"/>
      <c r="AS22" s="33"/>
      <c r="AT22" s="33"/>
      <c r="AU22" s="33"/>
      <c r="AV22" s="33"/>
      <c r="AW22" s="33"/>
      <c r="AX22" s="33"/>
      <c r="AY22" s="33"/>
      <c r="AZ22" s="33"/>
      <c r="BA22" s="33"/>
      <c r="BB22" s="34"/>
      <c r="BD22" s="265" t="str">
        <f>IF(SUMIF('4.Team'!$CG:$CG,'8.Timeline'!BD$5,'4.Team'!$BV:$BV)&gt;0,'8.Timeline'!BD$4,"")</f>
        <v/>
      </c>
      <c r="BE22" s="265" t="str">
        <f>IF(SUMIF('4.Team'!$CG:$CG,'8.Timeline'!BE$5,'4.Team'!$BV:$BV)&gt;0,'8.Timeline'!BE$4,"")</f>
        <v/>
      </c>
      <c r="BF22" s="265" t="str">
        <f>IF(SUMIF('4.Team'!$CG:$CG,'8.Timeline'!BF$5,'4.Team'!$BV:$BV)&gt;0,'8.Timeline'!BF$4,"")</f>
        <v/>
      </c>
      <c r="BG22" s="265" t="str">
        <f>IF(SUMIF('4.Team'!$CG:$CG,'8.Timeline'!BG$5,'4.Team'!$BV:$BV)&gt;0,'8.Timeline'!BG$4,"")</f>
        <v/>
      </c>
      <c r="BH22" s="265" t="str">
        <f>IF(SUMIF('4.Team'!$CG:$CG,'8.Timeline'!BH$5,'4.Team'!$BV:$BV)&gt;0,'8.Timeline'!BH$4,"")</f>
        <v/>
      </c>
      <c r="BI22" s="265" t="str">
        <f>IF(SUMIF('4.Team'!$CG:$CG,'8.Timeline'!BI$5,'4.Team'!$BV:$BV)&gt;0,'8.Timeline'!BI$4,"")</f>
        <v/>
      </c>
      <c r="BJ22" s="265" t="str">
        <f>IF(SUMIF('4.Team'!$CG:$CG,'8.Timeline'!BJ$5,'4.Team'!$BV:$BV)&gt;0,'8.Timeline'!BJ$4,"")</f>
        <v/>
      </c>
      <c r="BK22" s="265" t="str">
        <f>IF(SUMIF('4.Team'!$CG:$CG,'8.Timeline'!BK$5,'4.Team'!$BV:$BV)&gt;0,'8.Timeline'!BK$4,"")</f>
        <v/>
      </c>
      <c r="BL22" s="265" t="str">
        <f>IF(SUMIF('4.Team'!$CG:$CG,'8.Timeline'!BL$5,'4.Team'!$BV:$BV)&gt;0,'8.Timeline'!BL$4,"")</f>
        <v/>
      </c>
      <c r="BM22" s="265" t="str">
        <f>IF(SUMIF('4.Team'!$CG:$CG,'8.Timeline'!BM$5,'4.Team'!$BV:$BV)&gt;0,'8.Timeline'!BM$4,"")</f>
        <v/>
      </c>
      <c r="BN22" s="265" t="str">
        <f>IF(SUMIF('4.Team'!$CG:$CG,'8.Timeline'!BN$5,'4.Team'!$BV:$BV)&gt;0,'8.Timeline'!BN$4,"")</f>
        <v/>
      </c>
      <c r="BP22" s="36" t="str">
        <f>IF(C22=0,"",IF('4.Team'!$E$4="","",IF(E22="","Alert: Column E needs to be filled in",IF(F22="","Alert: This task has yet to be assigned to team members on the TEAM sheet",""))))</f>
        <v/>
      </c>
    </row>
    <row r="23" spans="1:68" s="36" customFormat="1" ht="23.4" hidden="1" customHeight="1">
      <c r="A23" s="36" t="s">
        <v>35</v>
      </c>
      <c r="B23" s="27">
        <v>18</v>
      </c>
      <c r="C23" s="28">
        <f>+'3.Tasks'!C21</f>
        <v>0</v>
      </c>
      <c r="D23" s="29">
        <f>+'4.Team'!BW31+'4.Team'!BW40+'4.Team'!BW49</f>
        <v>0</v>
      </c>
      <c r="E23" s="30"/>
      <c r="F23" s="31" t="str">
        <f t="shared" si="3"/>
        <v>NA</v>
      </c>
      <c r="G23" s="32">
        <f ca="1">+'3.Tasks'!J21</f>
        <v>0</v>
      </c>
      <c r="H23" s="33">
        <f ca="1">+'3.Tasks'!K21</f>
        <v>0</v>
      </c>
      <c r="I23" s="33" t="e">
        <f ca="1">+'3.Tasks'!L21</f>
        <v>#N/A</v>
      </c>
      <c r="J23" s="33" t="e">
        <f ca="1">+'3.Tasks'!M21</f>
        <v>#N/A</v>
      </c>
      <c r="K23" s="33" t="e">
        <f ca="1">+'3.Tasks'!N21</f>
        <v>#N/A</v>
      </c>
      <c r="L23" s="33" t="e">
        <f ca="1">+'3.Tasks'!O21</f>
        <v>#N/A</v>
      </c>
      <c r="M23" s="33" t="e">
        <f ca="1">+'3.Tasks'!P21</f>
        <v>#N/A</v>
      </c>
      <c r="N23" s="33" t="e">
        <f ca="1">+'3.Tasks'!Q21</f>
        <v>#N/A</v>
      </c>
      <c r="O23" s="33" t="e">
        <f ca="1">+'3.Tasks'!R21</f>
        <v>#N/A</v>
      </c>
      <c r="P23" s="33" t="e">
        <f ca="1">+'3.Tasks'!S21</f>
        <v>#N/A</v>
      </c>
      <c r="Q23" s="33" t="e">
        <f ca="1">+'3.Tasks'!T21</f>
        <v>#N/A</v>
      </c>
      <c r="R23" s="34" t="e">
        <f ca="1">+'3.Tasks'!U21</f>
        <v>#N/A</v>
      </c>
      <c r="S23" s="35" t="e">
        <f ca="1">+'3.Tasks'!V21</f>
        <v>#N/A</v>
      </c>
      <c r="T23" s="33" t="e">
        <f ca="1">+'3.Tasks'!W21</f>
        <v>#N/A</v>
      </c>
      <c r="U23" s="33" t="e">
        <f ca="1">+'3.Tasks'!X21</f>
        <v>#N/A</v>
      </c>
      <c r="V23" s="33" t="e">
        <f ca="1">+'3.Tasks'!Y21</f>
        <v>#N/A</v>
      </c>
      <c r="W23" s="33" t="e">
        <f ca="1">+'3.Tasks'!Z21</f>
        <v>#N/A</v>
      </c>
      <c r="X23" s="33" t="e">
        <f ca="1">+'3.Tasks'!AA21</f>
        <v>#N/A</v>
      </c>
      <c r="Y23" s="33" t="e">
        <f ca="1">+'3.Tasks'!AB21</f>
        <v>#N/A</v>
      </c>
      <c r="Z23" s="33" t="e">
        <f ca="1">+'3.Tasks'!AC21</f>
        <v>#N/A</v>
      </c>
      <c r="AA23" s="33" t="e">
        <f ca="1">+'3.Tasks'!AD21</f>
        <v>#N/A</v>
      </c>
      <c r="AB23" s="33" t="e">
        <f ca="1">+'3.Tasks'!AE21</f>
        <v>#N/A</v>
      </c>
      <c r="AC23" s="33" t="e">
        <f ca="1">+'3.Tasks'!AF21</f>
        <v>#N/A</v>
      </c>
      <c r="AD23" s="34" t="e">
        <f ca="1">+'3.Tasks'!AG21</f>
        <v>#N/A</v>
      </c>
      <c r="AE23" s="35" t="e">
        <f ca="1">+'3.Tasks'!AH21</f>
        <v>#N/A</v>
      </c>
      <c r="AF23" s="33" t="e">
        <f ca="1">+'3.Tasks'!AI21</f>
        <v>#N/A</v>
      </c>
      <c r="AG23" s="33" t="e">
        <f ca="1">+'3.Tasks'!AJ21</f>
        <v>#N/A</v>
      </c>
      <c r="AH23" s="33" t="e">
        <f ca="1">+'3.Tasks'!AK21</f>
        <v>#N/A</v>
      </c>
      <c r="AI23" s="33" t="e">
        <f ca="1">+'3.Tasks'!AL21</f>
        <v>#N/A</v>
      </c>
      <c r="AJ23" s="33" t="e">
        <f ca="1">+'3.Tasks'!AM21</f>
        <v>#N/A</v>
      </c>
      <c r="AK23" s="33" t="e">
        <f ca="1">+'3.Tasks'!AN21</f>
        <v>#N/A</v>
      </c>
      <c r="AL23" s="33" t="e">
        <f ca="1">+'3.Tasks'!AO21</f>
        <v>#N/A</v>
      </c>
      <c r="AM23" s="33" t="e">
        <f ca="1">+'3.Tasks'!AP21</f>
        <v>#N/A</v>
      </c>
      <c r="AN23" s="33" t="e">
        <f ca="1">+'3.Tasks'!AQ21</f>
        <v>#N/A</v>
      </c>
      <c r="AO23" s="33" t="e">
        <f ca="1">+'3.Tasks'!AR21</f>
        <v>#N/A</v>
      </c>
      <c r="AP23" s="34" t="e">
        <f ca="1">+'3.Tasks'!AS21</f>
        <v>#N/A</v>
      </c>
      <c r="AQ23" s="35"/>
      <c r="AR23" s="33"/>
      <c r="AS23" s="33"/>
      <c r="AT23" s="33"/>
      <c r="AU23" s="33"/>
      <c r="AV23" s="33"/>
      <c r="AW23" s="33"/>
      <c r="AX23" s="33"/>
      <c r="AY23" s="33"/>
      <c r="AZ23" s="33"/>
      <c r="BA23" s="33"/>
      <c r="BB23" s="34"/>
      <c r="BD23" s="265" t="str">
        <f>IF(SUMIF('4.Team'!$CG:$CG,'8.Timeline'!BD$5,'4.Team'!$BW:$BW)&gt;0,'8.Timeline'!BD$4,"")</f>
        <v/>
      </c>
      <c r="BE23" s="265" t="str">
        <f>IF(SUMIF('4.Team'!$CG:$CG,'8.Timeline'!BE$5,'4.Team'!$BW:$BW)&gt;0,'8.Timeline'!BE$4,"")</f>
        <v/>
      </c>
      <c r="BF23" s="265" t="str">
        <f>IF(SUMIF('4.Team'!$CG:$CG,'8.Timeline'!BF$5,'4.Team'!$BW:$BW)&gt;0,'8.Timeline'!BF$4,"")</f>
        <v/>
      </c>
      <c r="BG23" s="265" t="str">
        <f>IF(SUMIF('4.Team'!$CG:$CG,'8.Timeline'!BG$5,'4.Team'!$BW:$BW)&gt;0,'8.Timeline'!BG$4,"")</f>
        <v/>
      </c>
      <c r="BH23" s="265" t="str">
        <f>IF(SUMIF('4.Team'!$CG:$CG,'8.Timeline'!BH$5,'4.Team'!$BW:$BW)&gt;0,'8.Timeline'!BH$4,"")</f>
        <v/>
      </c>
      <c r="BI23" s="265" t="str">
        <f>IF(SUMIF('4.Team'!$CG:$CG,'8.Timeline'!BI$5,'4.Team'!$BW:$BW)&gt;0,'8.Timeline'!BI$4,"")</f>
        <v/>
      </c>
      <c r="BJ23" s="265" t="str">
        <f>IF(SUMIF('4.Team'!$CG:$CG,'8.Timeline'!BJ$5,'4.Team'!$BW:$BW)&gt;0,'8.Timeline'!BJ$4,"")</f>
        <v/>
      </c>
      <c r="BK23" s="265" t="str">
        <f>IF(SUMIF('4.Team'!$CG:$CG,'8.Timeline'!BK$5,'4.Team'!$BW:$BW)&gt;0,'8.Timeline'!BK$4,"")</f>
        <v/>
      </c>
      <c r="BL23" s="265" t="str">
        <f>IF(SUMIF('4.Team'!$CG:$CG,'8.Timeline'!BL$5,'4.Team'!$BW:$BW)&gt;0,'8.Timeline'!BL$4,"")</f>
        <v/>
      </c>
      <c r="BM23" s="265" t="str">
        <f>IF(SUMIF('4.Team'!$CG:$CG,'8.Timeline'!BM$5,'4.Team'!$BW:$BW)&gt;0,'8.Timeline'!BM$4,"")</f>
        <v/>
      </c>
      <c r="BN23" s="265" t="str">
        <f>IF(SUMIF('4.Team'!$CG:$CG,'8.Timeline'!BN$5,'4.Team'!$BW:$BW)&gt;0,'8.Timeline'!BN$4,"")</f>
        <v/>
      </c>
      <c r="BP23" s="36" t="str">
        <f>IF(C23=0,"",IF('4.Team'!$E$4="","",IF(E23="","Alert: Column E needs to be filled in",IF(F23="","Alert: This task has yet to be assigned to team members on the TEAM sheet",""))))</f>
        <v/>
      </c>
    </row>
    <row r="24" spans="1:68" s="36" customFormat="1" ht="23.4" hidden="1" customHeight="1">
      <c r="A24" s="36" t="s">
        <v>36</v>
      </c>
      <c r="B24" s="27">
        <v>19</v>
      </c>
      <c r="C24" s="28">
        <f>+'3.Tasks'!C22</f>
        <v>0</v>
      </c>
      <c r="D24" s="29">
        <f>+'4.Team'!BX31+'4.Team'!BX40+'4.Team'!BX49</f>
        <v>0</v>
      </c>
      <c r="E24" s="30"/>
      <c r="F24" s="31" t="str">
        <f t="shared" si="3"/>
        <v>NA</v>
      </c>
      <c r="G24" s="32">
        <f ca="1">+'3.Tasks'!J22</f>
        <v>0</v>
      </c>
      <c r="H24" s="33">
        <f ca="1">+'3.Tasks'!K22</f>
        <v>0</v>
      </c>
      <c r="I24" s="33" t="e">
        <f ca="1">+'3.Tasks'!L22</f>
        <v>#N/A</v>
      </c>
      <c r="J24" s="33" t="e">
        <f ca="1">+'3.Tasks'!M22</f>
        <v>#N/A</v>
      </c>
      <c r="K24" s="33" t="e">
        <f ca="1">+'3.Tasks'!N22</f>
        <v>#N/A</v>
      </c>
      <c r="L24" s="33" t="e">
        <f ca="1">+'3.Tasks'!O22</f>
        <v>#N/A</v>
      </c>
      <c r="M24" s="33" t="e">
        <f ca="1">+'3.Tasks'!P22</f>
        <v>#N/A</v>
      </c>
      <c r="N24" s="33" t="e">
        <f ca="1">+'3.Tasks'!Q22</f>
        <v>#N/A</v>
      </c>
      <c r="O24" s="33" t="e">
        <f ca="1">+'3.Tasks'!R22</f>
        <v>#N/A</v>
      </c>
      <c r="P24" s="33" t="e">
        <f ca="1">+'3.Tasks'!S22</f>
        <v>#N/A</v>
      </c>
      <c r="Q24" s="33" t="e">
        <f ca="1">+'3.Tasks'!T22</f>
        <v>#N/A</v>
      </c>
      <c r="R24" s="34" t="e">
        <f ca="1">+'3.Tasks'!U22</f>
        <v>#N/A</v>
      </c>
      <c r="S24" s="35" t="e">
        <f ca="1">+'3.Tasks'!V22</f>
        <v>#N/A</v>
      </c>
      <c r="T24" s="33" t="e">
        <f ca="1">+'3.Tasks'!W22</f>
        <v>#N/A</v>
      </c>
      <c r="U24" s="33" t="e">
        <f ca="1">+'3.Tasks'!X22</f>
        <v>#N/A</v>
      </c>
      <c r="V24" s="33" t="e">
        <f ca="1">+'3.Tasks'!Y22</f>
        <v>#N/A</v>
      </c>
      <c r="W24" s="33" t="e">
        <f ca="1">+'3.Tasks'!Z22</f>
        <v>#N/A</v>
      </c>
      <c r="X24" s="33" t="e">
        <f ca="1">+'3.Tasks'!AA22</f>
        <v>#N/A</v>
      </c>
      <c r="Y24" s="33" t="e">
        <f ca="1">+'3.Tasks'!AB22</f>
        <v>#N/A</v>
      </c>
      <c r="Z24" s="33" t="e">
        <f ca="1">+'3.Tasks'!AC22</f>
        <v>#N/A</v>
      </c>
      <c r="AA24" s="33" t="e">
        <f ca="1">+'3.Tasks'!AD22</f>
        <v>#N/A</v>
      </c>
      <c r="AB24" s="33" t="e">
        <f ca="1">+'3.Tasks'!AE22</f>
        <v>#N/A</v>
      </c>
      <c r="AC24" s="33" t="e">
        <f ca="1">+'3.Tasks'!AF22</f>
        <v>#N/A</v>
      </c>
      <c r="AD24" s="34" t="e">
        <f ca="1">+'3.Tasks'!AG22</f>
        <v>#N/A</v>
      </c>
      <c r="AE24" s="35" t="e">
        <f ca="1">+'3.Tasks'!AH22</f>
        <v>#N/A</v>
      </c>
      <c r="AF24" s="33" t="e">
        <f ca="1">+'3.Tasks'!AI22</f>
        <v>#N/A</v>
      </c>
      <c r="AG24" s="33" t="e">
        <f ca="1">+'3.Tasks'!AJ22</f>
        <v>#N/A</v>
      </c>
      <c r="AH24" s="33" t="e">
        <f ca="1">+'3.Tasks'!AK22</f>
        <v>#N/A</v>
      </c>
      <c r="AI24" s="33" t="e">
        <f ca="1">+'3.Tasks'!AL22</f>
        <v>#N/A</v>
      </c>
      <c r="AJ24" s="33" t="e">
        <f ca="1">+'3.Tasks'!AM22</f>
        <v>#N/A</v>
      </c>
      <c r="AK24" s="33" t="e">
        <f ca="1">+'3.Tasks'!AN22</f>
        <v>#N/A</v>
      </c>
      <c r="AL24" s="33" t="e">
        <f ca="1">+'3.Tasks'!AO22</f>
        <v>#N/A</v>
      </c>
      <c r="AM24" s="33" t="e">
        <f ca="1">+'3.Tasks'!AP22</f>
        <v>#N/A</v>
      </c>
      <c r="AN24" s="33" t="e">
        <f ca="1">+'3.Tasks'!AQ22</f>
        <v>#N/A</v>
      </c>
      <c r="AO24" s="33" t="e">
        <f ca="1">+'3.Tasks'!AR22</f>
        <v>#N/A</v>
      </c>
      <c r="AP24" s="34" t="e">
        <f ca="1">+'3.Tasks'!AS22</f>
        <v>#N/A</v>
      </c>
      <c r="AQ24" s="35"/>
      <c r="AR24" s="33"/>
      <c r="AS24" s="33"/>
      <c r="AT24" s="33"/>
      <c r="AU24" s="33"/>
      <c r="AV24" s="33"/>
      <c r="AW24" s="33"/>
      <c r="AX24" s="33"/>
      <c r="AY24" s="33"/>
      <c r="AZ24" s="33"/>
      <c r="BA24" s="33"/>
      <c r="BB24" s="34"/>
      <c r="BD24" s="265" t="str">
        <f>IF(SUMIF('4.Team'!$CG:$CG,'8.Timeline'!BD$5,'4.Team'!$BX:$BX)&gt;0,'8.Timeline'!BD$4,"")</f>
        <v/>
      </c>
      <c r="BE24" s="265" t="str">
        <f>IF(SUMIF('4.Team'!$CG:$CG,'8.Timeline'!BE$5,'4.Team'!$BX:$BX)&gt;0,'8.Timeline'!BE$4,"")</f>
        <v/>
      </c>
      <c r="BF24" s="265" t="str">
        <f>IF(SUMIF('4.Team'!$CG:$CG,'8.Timeline'!BF$5,'4.Team'!$BX:$BX)&gt;0,'8.Timeline'!BF$4,"")</f>
        <v/>
      </c>
      <c r="BG24" s="265" t="str">
        <f>IF(SUMIF('4.Team'!$CG:$CG,'8.Timeline'!BG$5,'4.Team'!$BX:$BX)&gt;0,'8.Timeline'!BG$4,"")</f>
        <v/>
      </c>
      <c r="BH24" s="265" t="str">
        <f>IF(SUMIF('4.Team'!$CG:$CG,'8.Timeline'!BH$5,'4.Team'!$BX:$BX)&gt;0,'8.Timeline'!BH$4,"")</f>
        <v/>
      </c>
      <c r="BI24" s="265" t="str">
        <f>IF(SUMIF('4.Team'!$CG:$CG,'8.Timeline'!BI$5,'4.Team'!$BX:$BX)&gt;0,'8.Timeline'!BI$4,"")</f>
        <v/>
      </c>
      <c r="BJ24" s="265" t="str">
        <f>IF(SUMIF('4.Team'!$CG:$CG,'8.Timeline'!BJ$5,'4.Team'!$BX:$BX)&gt;0,'8.Timeline'!BJ$4,"")</f>
        <v/>
      </c>
      <c r="BK24" s="265" t="str">
        <f>IF(SUMIF('4.Team'!$CG:$CG,'8.Timeline'!BK$5,'4.Team'!$BX:$BX)&gt;0,'8.Timeline'!BK$4,"")</f>
        <v/>
      </c>
      <c r="BL24" s="265" t="str">
        <f>IF(SUMIF('4.Team'!$CG:$CG,'8.Timeline'!BL$5,'4.Team'!$BX:$BX)&gt;0,'8.Timeline'!BL$4,"")</f>
        <v/>
      </c>
      <c r="BM24" s="265" t="str">
        <f>IF(SUMIF('4.Team'!$CG:$CG,'8.Timeline'!BM$5,'4.Team'!$BX:$BX)&gt;0,'8.Timeline'!BM$4,"")</f>
        <v/>
      </c>
      <c r="BN24" s="265" t="str">
        <f>IF(SUMIF('4.Team'!$CG:$CG,'8.Timeline'!BN$5,'4.Team'!$BX:$BX)&gt;0,'8.Timeline'!BN$4,"")</f>
        <v/>
      </c>
      <c r="BP24" s="36" t="str">
        <f>IF(C24=0,"",IF('4.Team'!$E$4="","",IF(E24="","Alert: Column E needs to be filled in",IF(F24="","Alert: This task has yet to be assigned to team members on the TEAM sheet",""))))</f>
        <v/>
      </c>
    </row>
    <row r="25" spans="1:68" s="36" customFormat="1" ht="23.4" hidden="1" customHeight="1">
      <c r="A25" s="36" t="s">
        <v>37</v>
      </c>
      <c r="B25" s="27">
        <v>20</v>
      </c>
      <c r="C25" s="28">
        <f>+'3.Tasks'!C23</f>
        <v>0</v>
      </c>
      <c r="D25" s="29">
        <f>+'4.Team'!BY31+'4.Team'!BY40+'4.Team'!BY49</f>
        <v>0</v>
      </c>
      <c r="E25" s="30"/>
      <c r="F25" s="31" t="str">
        <f t="shared" si="3"/>
        <v>NA</v>
      </c>
      <c r="G25" s="32">
        <f ca="1">+'3.Tasks'!J23</f>
        <v>0</v>
      </c>
      <c r="H25" s="33">
        <f ca="1">+'3.Tasks'!K23</f>
        <v>0</v>
      </c>
      <c r="I25" s="33" t="e">
        <f ca="1">+'3.Tasks'!L23</f>
        <v>#N/A</v>
      </c>
      <c r="J25" s="33" t="e">
        <f ca="1">+'3.Tasks'!M23</f>
        <v>#N/A</v>
      </c>
      <c r="K25" s="33" t="e">
        <f ca="1">+'3.Tasks'!N23</f>
        <v>#N/A</v>
      </c>
      <c r="L25" s="33" t="e">
        <f ca="1">+'3.Tasks'!O23</f>
        <v>#N/A</v>
      </c>
      <c r="M25" s="33" t="e">
        <f ca="1">+'3.Tasks'!P23</f>
        <v>#N/A</v>
      </c>
      <c r="N25" s="33" t="e">
        <f ca="1">+'3.Tasks'!Q23</f>
        <v>#N/A</v>
      </c>
      <c r="O25" s="33" t="e">
        <f ca="1">+'3.Tasks'!R23</f>
        <v>#N/A</v>
      </c>
      <c r="P25" s="33" t="e">
        <f ca="1">+'3.Tasks'!S23</f>
        <v>#N/A</v>
      </c>
      <c r="Q25" s="33" t="e">
        <f ca="1">+'3.Tasks'!T23</f>
        <v>#N/A</v>
      </c>
      <c r="R25" s="34" t="e">
        <f ca="1">+'3.Tasks'!U23</f>
        <v>#N/A</v>
      </c>
      <c r="S25" s="35" t="e">
        <f ca="1">+'3.Tasks'!V23</f>
        <v>#N/A</v>
      </c>
      <c r="T25" s="33" t="e">
        <f ca="1">+'3.Tasks'!W23</f>
        <v>#N/A</v>
      </c>
      <c r="U25" s="33" t="e">
        <f ca="1">+'3.Tasks'!X23</f>
        <v>#N/A</v>
      </c>
      <c r="V25" s="33" t="e">
        <f ca="1">+'3.Tasks'!Y23</f>
        <v>#N/A</v>
      </c>
      <c r="W25" s="33" t="e">
        <f ca="1">+'3.Tasks'!Z23</f>
        <v>#N/A</v>
      </c>
      <c r="X25" s="33" t="e">
        <f ca="1">+'3.Tasks'!AA23</f>
        <v>#N/A</v>
      </c>
      <c r="Y25" s="33" t="e">
        <f ca="1">+'3.Tasks'!AB23</f>
        <v>#N/A</v>
      </c>
      <c r="Z25" s="33" t="e">
        <f ca="1">+'3.Tasks'!AC23</f>
        <v>#N/A</v>
      </c>
      <c r="AA25" s="33" t="e">
        <f ca="1">+'3.Tasks'!AD23</f>
        <v>#N/A</v>
      </c>
      <c r="AB25" s="33" t="e">
        <f ca="1">+'3.Tasks'!AE23</f>
        <v>#N/A</v>
      </c>
      <c r="AC25" s="33" t="e">
        <f ca="1">+'3.Tasks'!AF23</f>
        <v>#N/A</v>
      </c>
      <c r="AD25" s="34" t="e">
        <f ca="1">+'3.Tasks'!AG23</f>
        <v>#N/A</v>
      </c>
      <c r="AE25" s="35" t="e">
        <f ca="1">+'3.Tasks'!AH23</f>
        <v>#N/A</v>
      </c>
      <c r="AF25" s="33" t="e">
        <f ca="1">+'3.Tasks'!AI23</f>
        <v>#N/A</v>
      </c>
      <c r="AG25" s="33" t="e">
        <f ca="1">+'3.Tasks'!AJ23</f>
        <v>#N/A</v>
      </c>
      <c r="AH25" s="33" t="e">
        <f ca="1">+'3.Tasks'!AK23</f>
        <v>#N/A</v>
      </c>
      <c r="AI25" s="33" t="e">
        <f ca="1">+'3.Tasks'!AL23</f>
        <v>#N/A</v>
      </c>
      <c r="AJ25" s="33" t="e">
        <f ca="1">+'3.Tasks'!AM23</f>
        <v>#N/A</v>
      </c>
      <c r="AK25" s="33" t="e">
        <f ca="1">+'3.Tasks'!AN23</f>
        <v>#N/A</v>
      </c>
      <c r="AL25" s="33" t="e">
        <f ca="1">+'3.Tasks'!AO23</f>
        <v>#N/A</v>
      </c>
      <c r="AM25" s="33" t="e">
        <f ca="1">+'3.Tasks'!AP23</f>
        <v>#N/A</v>
      </c>
      <c r="AN25" s="33" t="e">
        <f ca="1">+'3.Tasks'!AQ23</f>
        <v>#N/A</v>
      </c>
      <c r="AO25" s="33" t="e">
        <f ca="1">+'3.Tasks'!AR23</f>
        <v>#N/A</v>
      </c>
      <c r="AP25" s="34" t="e">
        <f ca="1">+'3.Tasks'!AS23</f>
        <v>#N/A</v>
      </c>
      <c r="AQ25" s="35"/>
      <c r="AR25" s="33"/>
      <c r="AS25" s="33"/>
      <c r="AT25" s="33"/>
      <c r="AU25" s="33"/>
      <c r="AV25" s="33"/>
      <c r="AW25" s="33"/>
      <c r="AX25" s="33"/>
      <c r="AY25" s="33"/>
      <c r="AZ25" s="33"/>
      <c r="BA25" s="33"/>
      <c r="BB25" s="34"/>
      <c r="BD25" s="265" t="str">
        <f>IF(SUMIF('4.Team'!$CG:$CG,'8.Timeline'!BD$5,'4.Team'!$BY:$BY)&gt;0,'8.Timeline'!BD$4,"")</f>
        <v/>
      </c>
      <c r="BE25" s="265" t="str">
        <f>IF(SUMIF('4.Team'!$CG:$CG,'8.Timeline'!BE$5,'4.Team'!$BY:$BY)&gt;0,'8.Timeline'!BE$4,"")</f>
        <v/>
      </c>
      <c r="BF25" s="265" t="str">
        <f>IF(SUMIF('4.Team'!$CG:$CG,'8.Timeline'!BF$5,'4.Team'!$BY:$BY)&gt;0,'8.Timeline'!BF$4,"")</f>
        <v/>
      </c>
      <c r="BG25" s="265" t="str">
        <f>IF(SUMIF('4.Team'!$CG:$CG,'8.Timeline'!BG$5,'4.Team'!$BY:$BY)&gt;0,'8.Timeline'!BG$4,"")</f>
        <v/>
      </c>
      <c r="BH25" s="265" t="str">
        <f>IF(SUMIF('4.Team'!$CG:$CG,'8.Timeline'!BH$5,'4.Team'!$BY:$BY)&gt;0,'8.Timeline'!BH$4,"")</f>
        <v/>
      </c>
      <c r="BI25" s="265" t="str">
        <f>IF(SUMIF('4.Team'!$CG:$CG,'8.Timeline'!BI$5,'4.Team'!$BY:$BY)&gt;0,'8.Timeline'!BI$4,"")</f>
        <v/>
      </c>
      <c r="BJ25" s="265" t="str">
        <f>IF(SUMIF('4.Team'!$CG:$CG,'8.Timeline'!BJ$5,'4.Team'!$BY:$BY)&gt;0,'8.Timeline'!BJ$4,"")</f>
        <v/>
      </c>
      <c r="BK25" s="265" t="str">
        <f>IF(SUMIF('4.Team'!$CG:$CG,'8.Timeline'!BK$5,'4.Team'!$BY:$BY)&gt;0,'8.Timeline'!BK$4,"")</f>
        <v/>
      </c>
      <c r="BL25" s="265" t="str">
        <f>IF(SUMIF('4.Team'!$CG:$CG,'8.Timeline'!BL$5,'4.Team'!$BY:$BY)&gt;0,'8.Timeline'!BL$4,"")</f>
        <v/>
      </c>
      <c r="BM25" s="265" t="str">
        <f>IF(SUMIF('4.Team'!$CG:$CG,'8.Timeline'!BM$5,'4.Team'!$BY:$BY)&gt;0,'8.Timeline'!BM$4,"")</f>
        <v/>
      </c>
      <c r="BN25" s="265" t="str">
        <f>IF(SUMIF('4.Team'!$CG:$CG,'8.Timeline'!BN$5,'4.Team'!$BY:$BY)&gt;0,'8.Timeline'!BN$4,"")</f>
        <v/>
      </c>
      <c r="BP25" s="36" t="str">
        <f>IF(C25=0,"",IF('4.Team'!$E$4="","",IF(E25="","Alert: Column E needs to be filled in",IF(F25="","Alert: This task has yet to be assigned to team members on the TEAM sheet",""))))</f>
        <v/>
      </c>
    </row>
    <row r="26" spans="1:68" ht="39.799999999999997" customHeight="1">
      <c r="D26" s="37">
        <f>SUM(D6:D25)</f>
        <v>0</v>
      </c>
      <c r="E26" s="38"/>
      <c r="F26" s="39" t="s">
        <v>96</v>
      </c>
      <c r="G26" s="40"/>
      <c r="H26" s="41"/>
      <c r="I26" s="41"/>
      <c r="J26" s="41"/>
      <c r="K26" s="41"/>
      <c r="L26" s="41"/>
      <c r="M26" s="41"/>
      <c r="N26" s="41"/>
      <c r="O26" s="41"/>
      <c r="P26" s="41"/>
      <c r="Q26" s="41"/>
      <c r="R26" s="42"/>
      <c r="S26" s="43"/>
      <c r="T26" s="41"/>
      <c r="U26" s="41"/>
      <c r="V26" s="41"/>
      <c r="W26" s="41"/>
      <c r="X26" s="41"/>
      <c r="Y26" s="41"/>
      <c r="Z26" s="41"/>
      <c r="AA26" s="41"/>
      <c r="AB26" s="41"/>
      <c r="AC26" s="41"/>
      <c r="AD26" s="42"/>
      <c r="AE26" s="43"/>
      <c r="AF26" s="41"/>
      <c r="AG26" s="41"/>
      <c r="AH26" s="41"/>
      <c r="AI26" s="41"/>
      <c r="AJ26" s="41"/>
      <c r="AK26" s="41"/>
      <c r="AL26" s="41"/>
      <c r="AM26" s="41"/>
      <c r="AN26" s="41"/>
      <c r="AO26" s="41"/>
      <c r="AP26" s="42"/>
      <c r="AQ26" s="43"/>
      <c r="AR26" s="41"/>
      <c r="AS26" s="41"/>
      <c r="AT26" s="41"/>
      <c r="AU26" s="41"/>
      <c r="AV26" s="41"/>
      <c r="AW26" s="41"/>
      <c r="AX26" s="41"/>
      <c r="AY26" s="41"/>
      <c r="AZ26" s="41"/>
      <c r="BA26" s="41"/>
      <c r="BB26" s="42"/>
      <c r="BD26" s="36"/>
      <c r="BE26" s="36"/>
      <c r="BF26" s="36"/>
      <c r="BG26" s="36"/>
      <c r="BH26" s="36"/>
      <c r="BI26" s="36"/>
      <c r="BJ26" s="36"/>
      <c r="BK26" s="36"/>
      <c r="BL26" s="36"/>
      <c r="BM26" s="36"/>
      <c r="BN26" s="36"/>
      <c r="BO26" s="36"/>
    </row>
    <row r="27" spans="1:68" ht="7.55" customHeight="1">
      <c r="R27" s="44"/>
      <c r="AD27" s="44"/>
      <c r="AP27" s="44"/>
      <c r="AQ27" s="593"/>
      <c r="AR27" s="593"/>
      <c r="AS27" s="593"/>
      <c r="AT27" s="593"/>
      <c r="AU27" s="593"/>
      <c r="AV27" s="593"/>
      <c r="AW27" s="593"/>
      <c r="AX27" s="593"/>
      <c r="AY27" s="593"/>
      <c r="AZ27" s="593"/>
      <c r="BA27" s="593"/>
      <c r="BB27" s="594"/>
    </row>
    <row r="28" spans="1:68">
      <c r="R28" s="44"/>
      <c r="AD28" s="44"/>
      <c r="AP28" s="44"/>
      <c r="AQ28" s="593"/>
      <c r="AR28" s="593"/>
      <c r="AS28" s="593"/>
      <c r="AT28" s="593"/>
      <c r="AU28" s="593"/>
      <c r="AV28" s="593"/>
      <c r="AW28" s="593"/>
      <c r="AX28" s="593"/>
      <c r="AY28" s="593"/>
      <c r="AZ28" s="593"/>
      <c r="BA28" s="593"/>
      <c r="BB28" s="594"/>
    </row>
    <row r="29" spans="1:68" ht="15.75">
      <c r="C29" s="45"/>
    </row>
    <row r="30" spans="1:68">
      <c r="B30" s="515" t="s">
        <v>97</v>
      </c>
    </row>
    <row r="31" spans="1:68">
      <c r="B31" s="516" t="str">
        <f>+Info!B1</f>
        <v>Ficheiro Apoio_LUMP SUM_V2026.02.24</v>
      </c>
    </row>
  </sheetData>
  <sheetProtection algorithmName="SHA-512" hashValue="LAluHTXKSRdUq3Bftax0SB49xshib8NxmAlAgIUt7TKhzC8g9YtjV4INuommJV/Ld+/W8ERFL2FxpkMXfbq4Zw==" saltValue="SA+ql/c83nV2upJe//pWXQ==" spinCount="100000" sheet="1" formatRows="0" autoFilter="0"/>
  <autoFilter ref="F5:BB5" xr:uid="{82766C5E-D7A5-4DD0-BAE8-FB4F5F64A0D7}"/>
  <mergeCells count="6">
    <mergeCell ref="AQ4:BB4"/>
    <mergeCell ref="D1:AP1"/>
    <mergeCell ref="G4:R4"/>
    <mergeCell ref="S4:AD4"/>
    <mergeCell ref="AE4:AP4"/>
    <mergeCell ref="D2:BB2"/>
  </mergeCells>
  <conditionalFormatting sqref="C6:C25">
    <cfRule type="cellIs" dxfId="18" priority="21" operator="equal">
      <formula>0</formula>
    </cfRule>
  </conditionalFormatting>
  <conditionalFormatting sqref="D1:AP1">
    <cfRule type="containsBlanks" dxfId="17" priority="44">
      <formula>LEN(TRIM(D1))=0</formula>
    </cfRule>
  </conditionalFormatting>
  <conditionalFormatting sqref="E6:E25">
    <cfRule type="containsBlanks" dxfId="16" priority="18">
      <formula>LEN(TRIM(E6))=0</formula>
    </cfRule>
  </conditionalFormatting>
  <conditionalFormatting sqref="F6:F25">
    <cfRule type="cellIs" dxfId="15" priority="19" operator="equal">
      <formula>"NA"</formula>
    </cfRule>
    <cfRule type="containsBlanks" dxfId="14" priority="23">
      <formula>LEN(TRIM(F6))=0</formula>
    </cfRule>
  </conditionalFormatting>
  <conditionalFormatting sqref="G6:AP25 AQ6:BB20">
    <cfRule type="cellIs" dxfId="13" priority="6" operator="equal">
      <formula>0</formula>
    </cfRule>
    <cfRule type="cellIs" dxfId="12" priority="7" operator="equal">
      <formula>1</formula>
    </cfRule>
  </conditionalFormatting>
  <conditionalFormatting sqref="BP1 BP3:BP25">
    <cfRule type="containsText" dxfId="11" priority="22" operator="containsText" text="Alerta: ">
      <formula>NOT(ISERROR(SEARCH("Alerta: ",BP1)))</formula>
    </cfRule>
  </conditionalFormatting>
  <conditionalFormatting sqref="AQ21:BB25">
    <cfRule type="cellIs" dxfId="10" priority="3" operator="equal">
      <formula>0</formula>
    </cfRule>
    <cfRule type="cellIs" dxfId="9" priority="4" operator="equal">
      <formula>1</formula>
    </cfRule>
  </conditionalFormatting>
  <conditionalFormatting sqref="D2">
    <cfRule type="containsBlanks" dxfId="8" priority="2">
      <formula>LEN(TRIM(D2))=0</formula>
    </cfRule>
  </conditionalFormatting>
  <conditionalFormatting sqref="BP2">
    <cfRule type="containsText" dxfId="7" priority="1" operator="containsText" text="Alerta: ">
      <formula>NOT(ISERROR(SEARCH("Alerta: ",BP2)))</formula>
    </cfRule>
  </conditionalFormatting>
  <printOptions horizontalCentered="1"/>
  <pageMargins left="0.25" right="0.25" top="0.75" bottom="0.75" header="0.3" footer="0.3"/>
  <pageSetup paperSize="9" scale="57"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B80CCE-A381-48DA-A501-73454C438FED}">
          <x14:formula1>
            <xm:f>'2.Inst.'!$A$32:$A$42</xm:f>
          </x14:formula1>
          <xm:sqref>E6:E25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816E-6EF2-4A76-9EB4-CF0BE6E4C803}">
  <dimension ref="A1:CB50"/>
  <sheetViews>
    <sheetView showGridLines="0" zoomScale="90" zoomScaleNormal="90" workbookViewId="0">
      <selection activeCell="B3" sqref="B3"/>
    </sheetView>
  </sheetViews>
  <sheetFormatPr defaultColWidth="8.88671875" defaultRowHeight="15.05"/>
  <cols>
    <col min="1" max="7" width="8.88671875" style="169"/>
    <col min="8" max="8" width="13.44140625" style="169" customWidth="1"/>
    <col min="9" max="13" width="8.88671875" style="169"/>
    <col min="14" max="14" width="22.44140625" style="169" customWidth="1"/>
    <col min="15" max="17" width="8.88671875" style="169"/>
    <col min="18" max="18" width="14" style="169" customWidth="1"/>
    <col min="19" max="22" width="8.88671875" style="169"/>
    <col min="23" max="23" width="11.44140625" style="169" customWidth="1"/>
    <col min="24" max="25" width="8.88671875" style="169"/>
    <col min="26" max="26" width="12.109375" style="169" bestFit="1" customWidth="1"/>
    <col min="27" max="27" width="11.44140625" style="169" customWidth="1"/>
    <col min="28" max="28" width="12.109375" style="169" bestFit="1" customWidth="1"/>
    <col min="29" max="61" width="8.88671875" style="169"/>
    <col min="62" max="79" width="10.5546875" style="169" customWidth="1"/>
    <col min="80" max="16384" width="8.88671875" style="169"/>
  </cols>
  <sheetData>
    <row r="1" spans="1:80" ht="43.55" customHeight="1" thickBot="1">
      <c r="A1" s="847" t="s">
        <v>849</v>
      </c>
      <c r="B1" s="848"/>
      <c r="C1" s="848"/>
      <c r="D1" s="848"/>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c r="AE1" s="848"/>
      <c r="AF1" s="848"/>
      <c r="AG1" s="848"/>
      <c r="AH1" s="848"/>
      <c r="AI1" s="848"/>
      <c r="AJ1" s="848"/>
      <c r="AK1" s="848"/>
      <c r="AL1" s="848"/>
      <c r="AM1" s="848"/>
      <c r="AN1" s="848"/>
      <c r="AO1" s="848"/>
      <c r="AP1" s="848"/>
      <c r="AQ1" s="848"/>
      <c r="AR1" s="848"/>
      <c r="AS1" s="848"/>
      <c r="AT1" s="848"/>
      <c r="AU1" s="848"/>
      <c r="AV1" s="848"/>
      <c r="AW1" s="848"/>
      <c r="AX1" s="848"/>
      <c r="AY1" s="848"/>
      <c r="AZ1" s="848"/>
      <c r="BA1" s="848"/>
      <c r="BB1" s="848"/>
      <c r="BC1" s="848"/>
      <c r="BD1" s="848"/>
      <c r="BE1" s="848"/>
      <c r="BF1" s="848"/>
      <c r="BG1" s="848"/>
      <c r="BH1" s="578"/>
      <c r="BI1" s="579"/>
      <c r="BJ1" s="840" t="s">
        <v>1015</v>
      </c>
      <c r="BK1" s="841"/>
      <c r="BL1" s="841"/>
      <c r="BM1" s="841"/>
      <c r="BN1" s="841"/>
      <c r="BO1" s="841"/>
      <c r="BP1" s="841"/>
      <c r="BQ1" s="841"/>
      <c r="BR1" s="841"/>
      <c r="BS1" s="841"/>
      <c r="BT1" s="841"/>
      <c r="BU1" s="841"/>
      <c r="BV1" s="841"/>
      <c r="BW1" s="841"/>
      <c r="BX1" s="841"/>
      <c r="BY1" s="841"/>
      <c r="BZ1" s="841"/>
      <c r="CA1" s="841"/>
      <c r="CB1" s="842"/>
    </row>
    <row r="2" spans="1:80" s="425" customFormat="1" ht="83.8">
      <c r="A2" s="397" t="s">
        <v>151</v>
      </c>
      <c r="B2" s="398" t="s">
        <v>152</v>
      </c>
      <c r="C2" s="399" t="s">
        <v>153</v>
      </c>
      <c r="D2" s="399" t="s">
        <v>154</v>
      </c>
      <c r="E2" s="400" t="s">
        <v>155</v>
      </c>
      <c r="F2" s="399" t="s">
        <v>156</v>
      </c>
      <c r="G2" s="399" t="s">
        <v>157</v>
      </c>
      <c r="H2" s="398" t="s">
        <v>158</v>
      </c>
      <c r="I2" s="401" t="s">
        <v>159</v>
      </c>
      <c r="J2" s="402" t="s">
        <v>160</v>
      </c>
      <c r="K2" s="401" t="s">
        <v>161</v>
      </c>
      <c r="L2" s="403" t="s">
        <v>162</v>
      </c>
      <c r="M2" s="398" t="s">
        <v>163</v>
      </c>
      <c r="N2" s="398" t="s">
        <v>164</v>
      </c>
      <c r="O2" s="404" t="s">
        <v>165</v>
      </c>
      <c r="P2" s="398" t="s">
        <v>166</v>
      </c>
      <c r="Q2" s="399" t="s">
        <v>167</v>
      </c>
      <c r="R2" s="399" t="s">
        <v>168</v>
      </c>
      <c r="S2" s="404" t="s">
        <v>169</v>
      </c>
      <c r="T2" s="405" t="s">
        <v>170</v>
      </c>
      <c r="U2" s="404" t="s">
        <v>171</v>
      </c>
      <c r="V2" s="399" t="s">
        <v>172</v>
      </c>
      <c r="W2" s="406" t="s">
        <v>173</v>
      </c>
      <c r="X2" s="407" t="s">
        <v>174</v>
      </c>
      <c r="Y2" s="408" t="s">
        <v>175</v>
      </c>
      <c r="Z2" s="409" t="s">
        <v>176</v>
      </c>
      <c r="AA2" s="410" t="s">
        <v>177</v>
      </c>
      <c r="AB2" s="409" t="s">
        <v>178</v>
      </c>
      <c r="AC2" s="411" t="s">
        <v>179</v>
      </c>
      <c r="AD2" s="412" t="s">
        <v>180</v>
      </c>
      <c r="AE2" s="412" t="s">
        <v>181</v>
      </c>
      <c r="AF2" s="411" t="s">
        <v>182</v>
      </c>
      <c r="AG2" s="411" t="s">
        <v>183</v>
      </c>
      <c r="AH2" s="411" t="s">
        <v>184</v>
      </c>
      <c r="AI2" s="413" t="s">
        <v>185</v>
      </c>
      <c r="AJ2" s="413" t="s">
        <v>186</v>
      </c>
      <c r="AK2" s="413" t="s">
        <v>187</v>
      </c>
      <c r="AL2" s="414" t="s">
        <v>188</v>
      </c>
      <c r="AM2" s="415" t="s">
        <v>189</v>
      </c>
      <c r="AN2" s="416" t="s">
        <v>190</v>
      </c>
      <c r="AO2" s="417" t="s">
        <v>191</v>
      </c>
      <c r="AP2" s="418" t="s">
        <v>192</v>
      </c>
      <c r="AQ2" s="419" t="s">
        <v>193</v>
      </c>
      <c r="AR2" s="414" t="s">
        <v>194</v>
      </c>
      <c r="AS2" s="414" t="s">
        <v>195</v>
      </c>
      <c r="AT2" s="419" t="s">
        <v>196</v>
      </c>
      <c r="AU2" s="420" t="s">
        <v>197</v>
      </c>
      <c r="AV2" s="413" t="s">
        <v>198</v>
      </c>
      <c r="AW2" s="413" t="s">
        <v>199</v>
      </c>
      <c r="AX2" s="416" t="s">
        <v>200</v>
      </c>
      <c r="AY2" s="416" t="s">
        <v>201</v>
      </c>
      <c r="AZ2" s="421" t="s">
        <v>202</v>
      </c>
      <c r="BA2" s="421" t="s">
        <v>203</v>
      </c>
      <c r="BB2" s="422" t="s">
        <v>204</v>
      </c>
      <c r="BC2" s="423" t="s">
        <v>205</v>
      </c>
      <c r="BD2" s="422" t="s">
        <v>206</v>
      </c>
      <c r="BE2" s="422" t="s">
        <v>207</v>
      </c>
      <c r="BF2" s="424" t="s">
        <v>208</v>
      </c>
      <c r="BG2" s="580" t="s">
        <v>209</v>
      </c>
      <c r="BH2" s="581" t="s">
        <v>1041</v>
      </c>
      <c r="BI2" s="582" t="s">
        <v>1042</v>
      </c>
      <c r="BJ2" s="586" t="s">
        <v>1033</v>
      </c>
      <c r="BK2" s="587" t="s">
        <v>1019</v>
      </c>
      <c r="BL2" s="587" t="s">
        <v>1034</v>
      </c>
      <c r="BM2" s="587" t="s">
        <v>1020</v>
      </c>
      <c r="BN2" s="587" t="s">
        <v>1035</v>
      </c>
      <c r="BO2" s="587" t="s">
        <v>1021</v>
      </c>
      <c r="BP2" s="587" t="s">
        <v>1036</v>
      </c>
      <c r="BQ2" s="587" t="s">
        <v>1022</v>
      </c>
      <c r="BR2" s="587" t="s">
        <v>1037</v>
      </c>
      <c r="BS2" s="587" t="s">
        <v>1024</v>
      </c>
      <c r="BT2" s="587" t="s">
        <v>1025</v>
      </c>
      <c r="BU2" s="587" t="s">
        <v>1026</v>
      </c>
      <c r="BV2" s="587" t="s">
        <v>1027</v>
      </c>
      <c r="BW2" s="587" t="s">
        <v>1028</v>
      </c>
      <c r="BX2" s="587" t="s">
        <v>1022</v>
      </c>
      <c r="BY2" s="587" t="s">
        <v>1038</v>
      </c>
      <c r="BZ2" s="587" t="s">
        <v>1039</v>
      </c>
      <c r="CA2" s="587" t="s">
        <v>1040</v>
      </c>
      <c r="CB2" s="588" t="s">
        <v>1057</v>
      </c>
    </row>
    <row r="3" spans="1:80" s="436" customFormat="1" ht="64.349999999999994" customHeight="1" thickBot="1">
      <c r="A3" s="426"/>
      <c r="B3" s="438"/>
      <c r="C3" s="427" t="s">
        <v>210</v>
      </c>
      <c r="D3" s="438"/>
      <c r="E3" s="428" t="s">
        <v>973</v>
      </c>
      <c r="F3" s="427" t="s">
        <v>95</v>
      </c>
      <c r="G3" s="427" t="s">
        <v>95</v>
      </c>
      <c r="H3" s="439"/>
      <c r="I3" s="427" t="s">
        <v>211</v>
      </c>
      <c r="J3" s="429"/>
      <c r="K3" s="427"/>
      <c r="L3" s="428" t="s">
        <v>212</v>
      </c>
      <c r="M3" s="427">
        <f>+'1.G.Data'!C6</f>
        <v>0</v>
      </c>
      <c r="N3" s="427">
        <f>+'1.G.Data'!C3</f>
        <v>0</v>
      </c>
      <c r="O3" s="427">
        <f>+'1.G.Data'!C5</f>
        <v>0</v>
      </c>
      <c r="P3" s="430">
        <f>+'1.G.Data'!C14</f>
        <v>0</v>
      </c>
      <c r="Q3" s="427" t="str">
        <f>IF('1.G.Data'!C7="Yes",'9.Summary'!N4,'9.Summary'!O4)</f>
        <v xml:space="preserve">Participante (P) </v>
      </c>
      <c r="R3" s="431" t="s">
        <v>214</v>
      </c>
      <c r="S3" s="427"/>
      <c r="T3" s="427" t="str">
        <f>+Info!B13</f>
        <v>PTDC 2025</v>
      </c>
      <c r="U3" s="427" t="s">
        <v>215</v>
      </c>
      <c r="V3" s="427" t="s">
        <v>976</v>
      </c>
      <c r="W3" s="428">
        <f>+'1.G.Data'!C16</f>
        <v>0</v>
      </c>
      <c r="X3" s="428">
        <f>+'1.G.Data'!C23</f>
        <v>0</v>
      </c>
      <c r="Y3" s="427">
        <f>+'1.G.Data'!C17</f>
        <v>0</v>
      </c>
      <c r="Z3" s="427" t="str">
        <f>IFERROR(VLOOKUP('1.G.Data'!C21,Tabela13[],2,FALSE),'1.1'!D31)</f>
        <v>Not Applicable</v>
      </c>
      <c r="AA3" s="427" t="str">
        <f>IFERROR(VLOOKUP('1.G.Data'!C20,Tabela5[],2,FALSE),'1.1'!D9)</f>
        <v>Not Applicable</v>
      </c>
      <c r="AB3" s="427">
        <f>+'1.G.Data'!C18</f>
        <v>0</v>
      </c>
      <c r="AC3" s="427">
        <f>+'1.G.Data'!C26</f>
        <v>0</v>
      </c>
      <c r="AD3" s="427">
        <f>+'1.G.Data'!C32</f>
        <v>0</v>
      </c>
      <c r="AE3" s="427">
        <f>+'1.G.Data'!C27</f>
        <v>0</v>
      </c>
      <c r="AF3" s="427">
        <v>0</v>
      </c>
      <c r="AG3" s="427">
        <f>+'1.G.Data'!C30</f>
        <v>0</v>
      </c>
      <c r="AH3" s="427">
        <f>+'1.G.Data'!C29</f>
        <v>0</v>
      </c>
      <c r="AI3" s="432" t="e">
        <f ca="1">+'6.Other Exp. Categories'!AG42</f>
        <v>#N/A</v>
      </c>
      <c r="AJ3" s="432">
        <f ca="1">+'6.Other Exp. Categories'!V23</f>
        <v>0</v>
      </c>
      <c r="AK3" s="432">
        <v>0</v>
      </c>
      <c r="AL3" s="432">
        <f ca="1">+AJ3</f>
        <v>0</v>
      </c>
      <c r="AM3" s="432" t="e">
        <f ca="1">+AI3-AL3</f>
        <v>#N/A</v>
      </c>
      <c r="AN3" s="432" t="s">
        <v>216</v>
      </c>
      <c r="AO3" s="433">
        <v>0</v>
      </c>
      <c r="AP3" s="434">
        <v>0</v>
      </c>
      <c r="AQ3" s="435">
        <v>0.25</v>
      </c>
      <c r="AR3" s="432">
        <f ca="1">IF(AQ3=0%,0,+AJ3/(1+AQ3))</f>
        <v>0</v>
      </c>
      <c r="AS3" s="432" t="e">
        <f ca="1">+'6.Other Exp. Categories'!K11</f>
        <v>#N/A</v>
      </c>
      <c r="AT3" s="435">
        <v>0.05</v>
      </c>
      <c r="AU3" s="435">
        <v>0.2</v>
      </c>
      <c r="AV3" s="432" t="e">
        <f ca="1">+'4.Team'!CB39</f>
        <v>#N/A</v>
      </c>
      <c r="AW3" s="432">
        <f ca="1">+'4.Team'!CB48</f>
        <v>0</v>
      </c>
      <c r="AX3" s="429" t="s">
        <v>216</v>
      </c>
      <c r="AY3" s="429"/>
      <c r="AZ3" s="429">
        <f>+'1.G.Data'!C13</f>
        <v>0</v>
      </c>
      <c r="BA3" s="429" t="str">
        <f>+'1.G.Data'!K13</f>
        <v/>
      </c>
      <c r="BB3" s="427"/>
      <c r="BC3" s="427"/>
      <c r="BD3" s="427"/>
      <c r="BE3" s="427"/>
      <c r="BF3" s="427" t="s">
        <v>95</v>
      </c>
      <c r="BG3" s="427">
        <v>2025</v>
      </c>
      <c r="BH3" s="583"/>
      <c r="BI3" s="584" t="s">
        <v>1043</v>
      </c>
      <c r="BJ3" s="583">
        <f>+'10.Inquiry for innovative readi'!D4</f>
        <v>0</v>
      </c>
      <c r="BK3" s="585">
        <f>+'10.Inquiry for innovative readi'!H9</f>
        <v>0</v>
      </c>
      <c r="BL3" s="589">
        <f>+'10.Inquiry for innovative readi'!I9</f>
        <v>0</v>
      </c>
      <c r="BM3" s="585">
        <f>+'10.Inquiry for innovative readi'!H10</f>
        <v>0</v>
      </c>
      <c r="BN3" s="589">
        <f>+'10.Inquiry for innovative readi'!I10</f>
        <v>0</v>
      </c>
      <c r="BO3" s="585">
        <f>+'10.Inquiry for innovative readi'!H11</f>
        <v>0</v>
      </c>
      <c r="BP3" s="589">
        <f>+'10.Inquiry for innovative readi'!I11</f>
        <v>0</v>
      </c>
      <c r="BQ3" s="585">
        <f>+'10.Inquiry for innovative readi'!F12</f>
        <v>0</v>
      </c>
      <c r="BR3" s="589">
        <f>+'10.Inquiry for innovative readi'!I12</f>
        <v>0</v>
      </c>
      <c r="BS3" s="585">
        <f>+'10.Inquiry for innovative readi'!J13</f>
        <v>0</v>
      </c>
      <c r="BT3" s="585">
        <f>+'10.Inquiry for innovative readi'!J14</f>
        <v>0</v>
      </c>
      <c r="BU3" s="585">
        <f>+'10.Inquiry for innovative readi'!J15</f>
        <v>0</v>
      </c>
      <c r="BV3" s="585">
        <f>+'10.Inquiry for innovative readi'!J16</f>
        <v>0</v>
      </c>
      <c r="BW3" s="585">
        <f>+'10.Inquiry for innovative readi'!J17</f>
        <v>0</v>
      </c>
      <c r="BX3" s="585">
        <f>+'10.Inquiry for innovative readi'!F18</f>
        <v>0</v>
      </c>
      <c r="BY3" s="585">
        <f>+'10.Inquiry for innovative readi'!J19</f>
        <v>0</v>
      </c>
      <c r="BZ3" s="585">
        <f>+'10.Inquiry for innovative readi'!J20</f>
        <v>0</v>
      </c>
      <c r="CA3" s="585">
        <f>+'10.Inquiry for innovative readi'!J21</f>
        <v>0</v>
      </c>
      <c r="CB3" s="584">
        <f>+'10.Inquiry for innovative readi'!F22</f>
        <v>0</v>
      </c>
    </row>
    <row r="4" spans="1:80">
      <c r="N4" s="437" t="s">
        <v>213</v>
      </c>
      <c r="O4" s="437" t="s">
        <v>907</v>
      </c>
    </row>
    <row r="5" spans="1:8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row>
    <row r="6" spans="1:80" ht="15.75" thickBot="1">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row>
    <row r="7" spans="1:80" s="197" customFormat="1" ht="20.3" customHeight="1">
      <c r="A7" s="849"/>
      <c r="B7" s="850"/>
      <c r="C7" s="850"/>
      <c r="D7" s="850"/>
      <c r="E7" s="850"/>
      <c r="F7" s="850"/>
      <c r="G7" s="850"/>
      <c r="H7" s="850"/>
      <c r="I7" s="851"/>
      <c r="J7" s="851"/>
      <c r="K7" s="851"/>
      <c r="L7" s="851"/>
      <c r="M7" s="851"/>
      <c r="N7" s="852"/>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row>
    <row r="8" spans="1:80" s="197" customFormat="1" ht="20.3" customHeight="1">
      <c r="A8" s="853"/>
      <c r="B8" s="854"/>
      <c r="C8" s="854"/>
      <c r="D8" s="854"/>
      <c r="E8" s="854"/>
      <c r="F8" s="854"/>
      <c r="G8" s="854"/>
      <c r="H8" s="854"/>
      <c r="I8" s="855"/>
      <c r="J8" s="855"/>
      <c r="K8" s="855"/>
      <c r="L8" s="855"/>
      <c r="M8" s="855"/>
      <c r="N8" s="856"/>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row>
    <row r="9" spans="1:80" s="197" customFormat="1" ht="20.3" customHeight="1" thickBot="1">
      <c r="A9" s="843"/>
      <c r="B9" s="844"/>
      <c r="C9" s="844"/>
      <c r="D9" s="844"/>
      <c r="E9" s="844"/>
      <c r="F9" s="844"/>
      <c r="G9" s="844"/>
      <c r="H9" s="844"/>
      <c r="I9" s="845"/>
      <c r="J9" s="845"/>
      <c r="K9" s="845"/>
      <c r="L9" s="845"/>
      <c r="M9" s="845"/>
      <c r="N9" s="846"/>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row>
    <row r="10" spans="1:80">
      <c r="A10" s="350"/>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row>
    <row r="11" spans="1:80">
      <c r="A11" s="350"/>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row>
    <row r="12" spans="1:80">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row>
    <row r="13" spans="1:80">
      <c r="A13" s="350"/>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row>
    <row r="14" spans="1:80">
      <c r="A14" s="350"/>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row>
    <row r="15" spans="1:80">
      <c r="A15" s="350"/>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row>
    <row r="16" spans="1:80">
      <c r="A16" s="35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row>
    <row r="17" spans="1:41">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row>
    <row r="18" spans="1:41">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row>
    <row r="19" spans="1:41">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row>
    <row r="20" spans="1:41">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row>
    <row r="21" spans="1:41">
      <c r="A21" s="350"/>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row>
    <row r="22" spans="1:41">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row>
    <row r="23" spans="1:41">
      <c r="A23" s="350"/>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row>
    <row r="24" spans="1:41">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row>
    <row r="25" spans="1:41">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row>
    <row r="26" spans="1:41">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row>
    <row r="27" spans="1:41">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row>
    <row r="28" spans="1:41">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row>
    <row r="29" spans="1:41">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row>
    <row r="30" spans="1:41">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row>
    <row r="31" spans="1:41">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row>
    <row r="32" spans="1:41">
      <c r="A32" s="350"/>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row>
    <row r="33" spans="1:41">
      <c r="A33" s="350"/>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row>
    <row r="34" spans="1:41">
      <c r="A34" s="350"/>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row>
    <row r="35" spans="1:41">
      <c r="A35" s="350"/>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row>
    <row r="36" spans="1:41">
      <c r="A36" s="350"/>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row>
    <row r="37" spans="1:41">
      <c r="A37" s="350"/>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row>
    <row r="38" spans="1:41">
      <c r="A38" s="350"/>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row>
    <row r="39" spans="1:41">
      <c r="A39" s="350"/>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row>
    <row r="40" spans="1:41">
      <c r="A40" s="350"/>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row>
    <row r="41" spans="1:41">
      <c r="A41" s="350"/>
      <c r="B41" s="350"/>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row>
    <row r="42" spans="1:41">
      <c r="A42" s="350"/>
      <c r="B42" s="350"/>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row>
    <row r="43" spans="1:41">
      <c r="A43" s="350"/>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row>
    <row r="44" spans="1:41">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row>
    <row r="45" spans="1:41">
      <c r="A45" s="350"/>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row>
    <row r="46" spans="1:41">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row>
    <row r="47" spans="1:41">
      <c r="A47" s="350"/>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row>
    <row r="48" spans="1:41">
      <c r="A48" s="350"/>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row>
    <row r="49" spans="1:41">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row>
    <row r="50" spans="1:41">
      <c r="A50" s="350"/>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row>
  </sheetData>
  <sheetProtection algorithmName="SHA-512" hashValue="WGX0TE/cimYCLyh5G6lQf/V9U5qNipQRFC3DQSQxGBsXpWV+WC9ukzyJIWAsXXD4MOGpfTovvc4n1mde8bBIPw==" saltValue="TNrwrpz4bKQYB94iCnscMg==" spinCount="100000" sheet="1" objects="1" scenarios="1"/>
  <mergeCells count="8">
    <mergeCell ref="BJ1:CB1"/>
    <mergeCell ref="A9:H9"/>
    <mergeCell ref="I9:N9"/>
    <mergeCell ref="A1:BG1"/>
    <mergeCell ref="A7:H7"/>
    <mergeCell ref="I7:N7"/>
    <mergeCell ref="A8:H8"/>
    <mergeCell ref="I8:N8"/>
  </mergeCells>
  <conditionalFormatting sqref="A7:H9">
    <cfRule type="containsText" dxfId="6" priority="3" operator="containsText" text="Alert">
      <formula>NOT(ISERROR(SEARCH("Alert",A7)))</formula>
    </cfRule>
  </conditionalFormatting>
  <conditionalFormatting sqref="B3">
    <cfRule type="containsBlanks" dxfId="5" priority="6">
      <formula>LEN(TRIM(B3))=0</formula>
    </cfRule>
  </conditionalFormatting>
  <conditionalFormatting sqref="D3">
    <cfRule type="containsBlanks" dxfId="4" priority="5">
      <formula>LEN(TRIM(D3))=0</formula>
    </cfRule>
  </conditionalFormatting>
  <conditionalFormatting sqref="H3">
    <cfRule type="containsBlanks" dxfId="3" priority="4">
      <formula>LEN(TRIM(H3))=0</formula>
    </cfRule>
  </conditionalFormatting>
  <conditionalFormatting sqref="BI2:BI3">
    <cfRule type="duplicateValues" dxfId="2" priority="8"/>
  </conditionalFormatting>
  <conditionalFormatting sqref="AY3">
    <cfRule type="containsBlanks" dxfId="1" priority="2">
      <formula>LEN(TRIM(AY3))=0</formula>
    </cfRule>
  </conditionalFormatting>
  <conditionalFormatting sqref="BK2">
    <cfRule type="duplicateValues" dxfId="0" priority="1"/>
  </conditionalFormatting>
  <dataValidations count="20">
    <dataValidation type="list" allowBlank="1" showInputMessage="1" showErrorMessage="1" sqref="R2:R3" xr:uid="{FC2BB696-DBDF-4E59-BCEB-191732BD85A6}">
      <formula1>Instituição_Proponente</formula1>
    </dataValidation>
    <dataValidation type="list" allowBlank="1" showInputMessage="1" showErrorMessage="1" sqref="AO3" xr:uid="{B946E57F-2679-45D8-A2B2-5AF65B9145F8}">
      <formula1>IVA</formula1>
    </dataValidation>
    <dataValidation type="list" allowBlank="1" showInputMessage="1" showErrorMessage="1" sqref="AN3" xr:uid="{3A91A806-6ACA-4A80-91C0-BB50B15B5B82}">
      <formula1>Faturação</formula1>
    </dataValidation>
    <dataValidation type="list" allowBlank="1" showInputMessage="1" showErrorMessage="1" sqref="C3" xr:uid="{1FB90FB3-7E66-4FC5-8B43-4B535B0F007D}">
      <formula1>Núcleo_da_Submissão</formula1>
    </dataValidation>
    <dataValidation type="list" allowBlank="1" showInputMessage="1" showErrorMessage="1" sqref="L3" xr:uid="{8791E92B-4E5B-48FE-8C37-2F15E4A9531F}">
      <formula1>Financiador</formula1>
    </dataValidation>
    <dataValidation type="list" allowBlank="1" showInputMessage="1" showErrorMessage="1" sqref="E3" xr:uid="{AB6EE782-B803-4A6B-9F0E-C01DBED2079E}">
      <formula1>Tipologia_de_Projeto</formula1>
    </dataValidation>
    <dataValidation type="list" allowBlank="1" showInputMessage="1" showErrorMessage="1" sqref="AY3" xr:uid="{AA215CC9-588B-45C5-B582-C0FB5205EDD6}">
      <formula1>"Sim,Não"</formula1>
    </dataValidation>
    <dataValidation type="list" allowBlank="1" showInputMessage="1" showErrorMessage="1" sqref="F3" xr:uid="{0DC8ABA0-098F-41D9-906B-1813B48FB311}">
      <formula1>Tipo_de_Contrato</formula1>
    </dataValidation>
    <dataValidation type="list" allowBlank="1" showInputMessage="1" showErrorMessage="1" sqref="V3" xr:uid="{EEDB9DB5-2EEB-451D-9F02-D9154EBE1AA5}">
      <formula1>Subprograma</formula1>
    </dataValidation>
    <dataValidation type="list" allowBlank="1" showInputMessage="1" showErrorMessage="1" sqref="W3 AC3" xr:uid="{C54FF65C-C1A5-4B9B-9872-F09E526457D8}">
      <formula1>IR</formula1>
    </dataValidation>
    <dataValidation type="list" allowBlank="1" showInputMessage="1" showErrorMessage="1" sqref="S3" xr:uid="{C206282B-78A3-431C-A2AE-123FF8DB92D0}">
      <formula1>Área_Científica</formula1>
    </dataValidation>
    <dataValidation type="list" allowBlank="1" showInputMessage="1" showErrorMessage="1" sqref="K3" xr:uid="{C603CE6A-9042-49B3-BBB2-D4D81290FD15}">
      <formula1>Comunicação</formula1>
    </dataValidation>
    <dataValidation type="list" allowBlank="1" showInputMessage="1" showErrorMessage="1" sqref="G3" xr:uid="{4C279520-8E79-4C27-938C-9394902A0A21}">
      <formula1>Plataforma</formula1>
    </dataValidation>
    <dataValidation type="list" allowBlank="1" showInputMessage="1" showErrorMessage="1" sqref="BC3" xr:uid="{86706F4C-B131-42ED-BDBA-699EB5EEC0E9}">
      <formula1>Gestor</formula1>
    </dataValidation>
    <dataValidation type="list" allowBlank="1" showInputMessage="1" showErrorMessage="1" sqref="AX3" xr:uid="{1B7C8A1F-A9D1-4103-8858-D29B7A20D742}">
      <formula1>RH_Diretos</formula1>
    </dataValidation>
    <dataValidation type="list" allowBlank="1" showInputMessage="1" showErrorMessage="1" sqref="U3" xr:uid="{CBA8FA36-0BED-4DCD-B42A-97BFE173955D}">
      <formula1>Programa_de_Financiamento</formula1>
    </dataValidation>
    <dataValidation type="list" allowBlank="1" showInputMessage="1" showErrorMessage="1" sqref="I3" xr:uid="{661961BE-7AF5-4452-AA5D-A414DB07214D}">
      <formula1>Resultado</formula1>
    </dataValidation>
    <dataValidation type="list" allowBlank="1" showInputMessage="1" showErrorMessage="1" sqref="AG3" xr:uid="{403C0EFE-1F4B-4074-8C1F-1ED319AFD8D8}">
      <formula1>Departamento</formula1>
    </dataValidation>
    <dataValidation type="list" allowBlank="1" showInputMessage="1" showErrorMessage="1" sqref="AF3" xr:uid="{D7C97D74-FB6F-4CAC-A2B2-F1F897404FB9}">
      <formula1>Unidade</formula1>
    </dataValidation>
    <dataValidation type="list" allowBlank="1" showInputMessage="1" showErrorMessage="1" sqref="D3" xr:uid="{CF329E9A-8C22-48A5-B662-C4883FD99FB5}">
      <formula1>"Claúdia Capela,David Claro,Gabriela Francisco,Isabel Rodrigues,João Pequito,Joana Garcia,Luís Simão,Rute Vieira"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0B0EB1-0DEC-438B-9623-337B588DBF21}">
          <x14:formula1>
            <xm:f>'/Users/diogosoares/Library/Containers/com.microsoft.Excel/Data/Documents/Z:\06_FORMULARIOS\06.02_Candidaturas\[Lista Candidaturas FCID_2024_2025.xlsx]Tabelas auxiliares'!#REF!</xm:f>
          </x14:formula1>
          <xm:sqref>BF3 BD3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F407-C009-4F12-837A-ADAB98E264A8}">
  <dimension ref="B1:AU185"/>
  <sheetViews>
    <sheetView showGridLines="0" zoomScale="90" zoomScaleNormal="90" workbookViewId="0">
      <selection activeCell="M18" sqref="M18"/>
    </sheetView>
  </sheetViews>
  <sheetFormatPr defaultRowHeight="15.05"/>
  <cols>
    <col min="3" max="3" width="59.44140625" customWidth="1"/>
    <col min="5" max="5" width="14.109375" customWidth="1"/>
    <col min="7" max="8" width="18.33203125" customWidth="1"/>
    <col min="9" max="9" width="15.109375" customWidth="1"/>
    <col min="10" max="10" width="19.44140625" customWidth="1"/>
  </cols>
  <sheetData>
    <row r="1" spans="2:47" ht="15.75" thickBot="1"/>
    <row r="2" spans="2:47">
      <c r="B2" s="872" t="s">
        <v>1015</v>
      </c>
      <c r="C2" s="873"/>
      <c r="D2" s="873"/>
      <c r="E2" s="873"/>
      <c r="F2" s="873"/>
      <c r="G2" s="873"/>
      <c r="H2" s="873"/>
      <c r="I2" s="873"/>
      <c r="J2" s="874"/>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row>
    <row r="3" spans="2:47" ht="15.75" thickBot="1">
      <c r="B3" s="875"/>
      <c r="C3" s="876"/>
      <c r="D3" s="876"/>
      <c r="E3" s="876"/>
      <c r="F3" s="876"/>
      <c r="G3" s="876"/>
      <c r="H3" s="876"/>
      <c r="I3" s="876"/>
      <c r="J3" s="877"/>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row>
    <row r="4" spans="2:47">
      <c r="B4" s="861">
        <v>1</v>
      </c>
      <c r="C4" s="878" t="s">
        <v>1016</v>
      </c>
      <c r="D4" s="881"/>
      <c r="E4" s="881"/>
      <c r="F4" s="881"/>
      <c r="G4" s="881"/>
      <c r="H4" s="881"/>
      <c r="I4" s="881"/>
      <c r="J4" s="882"/>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row>
    <row r="5" spans="2:47">
      <c r="B5" s="862"/>
      <c r="C5" s="879"/>
      <c r="D5" s="883"/>
      <c r="E5" s="883"/>
      <c r="F5" s="883"/>
      <c r="G5" s="883"/>
      <c r="H5" s="883"/>
      <c r="I5" s="883"/>
      <c r="J5" s="884"/>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row>
    <row r="6" spans="2:47">
      <c r="B6" s="862"/>
      <c r="C6" s="879"/>
      <c r="D6" s="883"/>
      <c r="E6" s="883"/>
      <c r="F6" s="883"/>
      <c r="G6" s="883"/>
      <c r="H6" s="883"/>
      <c r="I6" s="883"/>
      <c r="J6" s="884"/>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row>
    <row r="7" spans="2:47" ht="15.75" thickBot="1">
      <c r="B7" s="863"/>
      <c r="C7" s="880"/>
      <c r="D7" s="885"/>
      <c r="E7" s="885"/>
      <c r="F7" s="885"/>
      <c r="G7" s="885"/>
      <c r="H7" s="885"/>
      <c r="I7" s="885"/>
      <c r="J7" s="886"/>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row>
    <row r="8" spans="2:47">
      <c r="B8" s="887">
        <v>2</v>
      </c>
      <c r="C8" s="890" t="s">
        <v>1017</v>
      </c>
      <c r="D8" s="893"/>
      <c r="E8" s="893"/>
      <c r="F8" s="893"/>
      <c r="G8" s="893"/>
      <c r="H8" s="893"/>
      <c r="I8" s="894" t="s">
        <v>1018</v>
      </c>
      <c r="J8" s="895"/>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row>
    <row r="9" spans="2:47">
      <c r="B9" s="888"/>
      <c r="C9" s="891"/>
      <c r="D9" s="868" t="s">
        <v>1019</v>
      </c>
      <c r="E9" s="868"/>
      <c r="F9" s="868"/>
      <c r="G9" s="868"/>
      <c r="H9" s="602"/>
      <c r="I9" s="896"/>
      <c r="J9" s="897"/>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row>
    <row r="10" spans="2:47">
      <c r="B10" s="888"/>
      <c r="C10" s="891"/>
      <c r="D10" s="868" t="s">
        <v>1020</v>
      </c>
      <c r="E10" s="868"/>
      <c r="F10" s="868"/>
      <c r="G10" s="868"/>
      <c r="H10" s="602"/>
      <c r="I10" s="896"/>
      <c r="J10" s="897"/>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row>
    <row r="11" spans="2:47">
      <c r="B11" s="888"/>
      <c r="C11" s="891"/>
      <c r="D11" s="868" t="s">
        <v>1021</v>
      </c>
      <c r="E11" s="868"/>
      <c r="F11" s="868"/>
      <c r="G11" s="868"/>
      <c r="H11" s="602"/>
      <c r="I11" s="896"/>
      <c r="J11" s="897"/>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row>
    <row r="12" spans="2:47" ht="15.75" thickBot="1">
      <c r="B12" s="889"/>
      <c r="C12" s="892"/>
      <c r="D12" s="898" t="s">
        <v>1022</v>
      </c>
      <c r="E12" s="899"/>
      <c r="F12" s="900"/>
      <c r="G12" s="901"/>
      <c r="H12" s="902"/>
      <c r="I12" s="859"/>
      <c r="J12" s="86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row>
    <row r="13" spans="2:47">
      <c r="B13" s="861">
        <v>3</v>
      </c>
      <c r="C13" s="864" t="s">
        <v>1023</v>
      </c>
      <c r="D13" s="867" t="s">
        <v>1024</v>
      </c>
      <c r="E13" s="867"/>
      <c r="F13" s="867"/>
      <c r="G13" s="867"/>
      <c r="H13" s="867"/>
      <c r="I13" s="867"/>
      <c r="J13" s="603"/>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row>
    <row r="14" spans="2:47">
      <c r="B14" s="862"/>
      <c r="C14" s="865"/>
      <c r="D14" s="857" t="s">
        <v>1025</v>
      </c>
      <c r="E14" s="857"/>
      <c r="F14" s="857"/>
      <c r="G14" s="857"/>
      <c r="H14" s="857"/>
      <c r="I14" s="857"/>
      <c r="J14" s="604"/>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row>
    <row r="15" spans="2:47">
      <c r="B15" s="862"/>
      <c r="C15" s="865"/>
      <c r="D15" s="868" t="s">
        <v>1026</v>
      </c>
      <c r="E15" s="868"/>
      <c r="F15" s="868"/>
      <c r="G15" s="868"/>
      <c r="H15" s="868"/>
      <c r="I15" s="868"/>
      <c r="J15" s="604"/>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row>
    <row r="16" spans="2:47">
      <c r="B16" s="862"/>
      <c r="C16" s="865"/>
      <c r="D16" s="868" t="s">
        <v>1027</v>
      </c>
      <c r="E16" s="868"/>
      <c r="F16" s="868"/>
      <c r="G16" s="868"/>
      <c r="H16" s="868"/>
      <c r="I16" s="868"/>
      <c r="J16" s="604"/>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2:47">
      <c r="B17" s="862"/>
      <c r="C17" s="865"/>
      <c r="D17" s="868" t="s">
        <v>1028</v>
      </c>
      <c r="E17" s="868"/>
      <c r="F17" s="868"/>
      <c r="G17" s="868"/>
      <c r="H17" s="868"/>
      <c r="I17" s="868"/>
      <c r="J17" s="604"/>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row>
    <row r="18" spans="2:47" ht="15.75" thickBot="1">
      <c r="B18" s="863"/>
      <c r="C18" s="866"/>
      <c r="D18" s="869" t="s">
        <v>1022</v>
      </c>
      <c r="E18" s="869"/>
      <c r="F18" s="870"/>
      <c r="G18" s="870"/>
      <c r="H18" s="870"/>
      <c r="I18" s="870"/>
      <c r="J18" s="871"/>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row>
    <row r="19" spans="2:47" ht="15.05" customHeight="1">
      <c r="B19" s="861">
        <v>4</v>
      </c>
      <c r="C19" s="906" t="s">
        <v>1029</v>
      </c>
      <c r="D19" s="867" t="s">
        <v>1030</v>
      </c>
      <c r="E19" s="867"/>
      <c r="F19" s="867"/>
      <c r="G19" s="867"/>
      <c r="H19" s="867"/>
      <c r="I19" s="867"/>
      <c r="J19" s="907"/>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row>
    <row r="20" spans="2:47">
      <c r="B20" s="862"/>
      <c r="C20" s="858"/>
      <c r="D20" s="857" t="s">
        <v>1031</v>
      </c>
      <c r="E20" s="857"/>
      <c r="F20" s="857"/>
      <c r="G20" s="857"/>
      <c r="H20" s="857"/>
      <c r="I20" s="857"/>
      <c r="J20" s="908"/>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2:47">
      <c r="B21" s="862"/>
      <c r="C21" s="858"/>
      <c r="D21" s="857" t="s">
        <v>1032</v>
      </c>
      <c r="E21" s="857"/>
      <c r="F21" s="857"/>
      <c r="G21" s="857"/>
      <c r="H21" s="857"/>
      <c r="I21" s="857"/>
      <c r="J21" s="908"/>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row>
    <row r="22" spans="2:47" ht="69.05" customHeight="1" thickBot="1">
      <c r="B22" s="909"/>
      <c r="C22" s="910"/>
      <c r="D22" s="911" t="s">
        <v>1056</v>
      </c>
      <c r="E22" s="912"/>
      <c r="F22" s="913"/>
      <c r="G22" s="914"/>
      <c r="H22" s="914"/>
      <c r="I22" s="914"/>
      <c r="J22" s="915"/>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row>
    <row r="23" spans="2:47">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row>
    <row r="24" spans="2:47">
      <c r="B24" s="905" t="s">
        <v>1091</v>
      </c>
      <c r="C24" s="905"/>
      <c r="D24" s="905"/>
      <c r="E24" s="905"/>
      <c r="F24" s="905"/>
      <c r="G24" s="905"/>
      <c r="H24" s="905"/>
      <c r="I24" s="905"/>
      <c r="J24" s="905"/>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2:47" ht="15.05" customHeight="1">
      <c r="B25" s="904" t="s">
        <v>1092</v>
      </c>
      <c r="C25" s="904"/>
      <c r="D25" s="904"/>
      <c r="E25" s="904"/>
      <c r="F25" s="904"/>
      <c r="G25" s="904"/>
      <c r="H25" s="904"/>
      <c r="I25" s="904"/>
      <c r="J25" s="904"/>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row>
    <row r="26" spans="2:47">
      <c r="B26" s="904"/>
      <c r="C26" s="904"/>
      <c r="D26" s="904"/>
      <c r="E26" s="904"/>
      <c r="F26" s="904"/>
      <c r="G26" s="904"/>
      <c r="H26" s="904"/>
      <c r="I26" s="904"/>
      <c r="J26" s="904"/>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row>
    <row r="27" spans="2:47">
      <c r="B27" s="904"/>
      <c r="C27" s="904"/>
      <c r="D27" s="904"/>
      <c r="E27" s="904"/>
      <c r="F27" s="904"/>
      <c r="G27" s="904"/>
      <c r="H27" s="904"/>
      <c r="I27" s="904"/>
      <c r="J27" s="904"/>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2:47">
      <c r="B28" s="904"/>
      <c r="C28" s="904"/>
      <c r="D28" s="904"/>
      <c r="E28" s="904"/>
      <c r="F28" s="904"/>
      <c r="G28" s="904"/>
      <c r="H28" s="904"/>
      <c r="I28" s="904"/>
      <c r="J28" s="904"/>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row>
    <row r="29" spans="2:47">
      <c r="B29" s="903"/>
      <c r="C29" s="903"/>
      <c r="D29" s="903"/>
      <c r="E29" s="903"/>
      <c r="F29" s="903"/>
      <c r="G29" s="903"/>
      <c r="H29" s="903"/>
      <c r="I29" s="903"/>
      <c r="J29" s="903"/>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row>
    <row r="30" spans="2:47">
      <c r="B30" s="903"/>
      <c r="C30" s="903"/>
      <c r="D30" s="903"/>
      <c r="E30" s="903"/>
      <c r="F30" s="903"/>
      <c r="G30" s="903"/>
      <c r="H30" s="903"/>
      <c r="I30" s="903"/>
      <c r="J30" s="903"/>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row>
    <row r="31" spans="2:47">
      <c r="B31" s="903"/>
      <c r="C31" s="903"/>
      <c r="D31" s="903"/>
      <c r="E31" s="903"/>
      <c r="F31" s="903"/>
      <c r="G31" s="903"/>
      <c r="H31" s="903"/>
      <c r="I31" s="903"/>
      <c r="J31" s="903"/>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row>
    <row r="32" spans="2:47">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row>
    <row r="33" spans="2:47">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row>
    <row r="34" spans="2:47">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row>
    <row r="35" spans="2:47">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row>
    <row r="36" spans="2:47">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row>
    <row r="37" spans="2:47">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row>
    <row r="38" spans="2:47">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row>
    <row r="39" spans="2:47">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row>
    <row r="40" spans="2:47">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row>
    <row r="41" spans="2:47">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row>
    <row r="42" spans="2:47">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row>
    <row r="43" spans="2:47">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row>
    <row r="44" spans="2:47">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row>
    <row r="45" spans="2:47">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row>
    <row r="46" spans="2:47">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row>
    <row r="47" spans="2:47">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row>
    <row r="48" spans="2:47">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row>
    <row r="49" spans="11:47">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row>
    <row r="50" spans="11:47">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row>
    <row r="51" spans="11:47">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row>
    <row r="52" spans="11:47">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row>
    <row r="53" spans="11:47">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row>
    <row r="54" spans="11:47">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row>
    <row r="55" spans="11:47">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row>
    <row r="56" spans="11:47">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row>
    <row r="57" spans="11:47">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row>
    <row r="58" spans="11:47">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row>
    <row r="59" spans="11:47">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row>
    <row r="60" spans="11:47">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row>
    <row r="61" spans="11:47">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row>
    <row r="62" spans="11:47">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row>
    <row r="63" spans="11:47">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row>
    <row r="64" spans="11:47">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row>
    <row r="65" spans="11:47">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row>
    <row r="66" spans="11:47">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row>
    <row r="67" spans="11:47">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row>
    <row r="68" spans="11:47">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row>
    <row r="69" spans="11:47">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row>
    <row r="70" spans="11:47">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row>
    <row r="71" spans="11:47">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row>
    <row r="72" spans="11:47">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row>
    <row r="73" spans="11:47">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row>
    <row r="74" spans="11:47">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row>
    <row r="75" spans="11:47">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row>
    <row r="76" spans="11:47">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row>
    <row r="77" spans="11:47">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row>
    <row r="78" spans="11:47">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row>
    <row r="79" spans="11:47">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row>
    <row r="80" spans="11:47">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row>
    <row r="81" spans="11:47">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row>
    <row r="82" spans="11:47">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row>
    <row r="83" spans="11:47">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row>
    <row r="84" spans="11:47">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row>
    <row r="85" spans="11:47">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row>
    <row r="86" spans="11:47">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row>
    <row r="87" spans="11:47">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row>
    <row r="88" spans="11:47">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row>
    <row r="89" spans="11:47">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row>
    <row r="90" spans="11:47">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row>
    <row r="91" spans="11:47">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row>
    <row r="92" spans="11:47">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row>
    <row r="93" spans="11:47">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row>
    <row r="94" spans="11:47">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row>
    <row r="95" spans="11:47">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row>
    <row r="96" spans="11:47">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row>
    <row r="97" spans="11:47">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row>
    <row r="98" spans="11:47">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row>
    <row r="99" spans="11:47">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row>
    <row r="100" spans="11:47">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row>
    <row r="101" spans="11:47">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row>
    <row r="102" spans="11:47">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row>
    <row r="103" spans="11:47">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row>
    <row r="104" spans="11:47">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row>
    <row r="105" spans="11:47">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row>
    <row r="106" spans="11:47">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row>
    <row r="107" spans="11:47">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row>
    <row r="108" spans="11:47">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row>
    <row r="109" spans="11:47">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row>
    <row r="110" spans="11:47">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row>
    <row r="111" spans="11:47">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row>
    <row r="112" spans="11:47">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row>
    <row r="113" spans="11:47">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row>
    <row r="114" spans="11:47">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row>
    <row r="115" spans="11:47">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row>
    <row r="116" spans="11:47">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row>
    <row r="117" spans="11:47">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row>
    <row r="118" spans="11:47">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row>
    <row r="119" spans="11:47">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row>
    <row r="120" spans="11:47">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row>
    <row r="121" spans="11:47">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row>
    <row r="122" spans="11:47">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row>
    <row r="123" spans="11:47">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row>
    <row r="124" spans="11:47">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row>
    <row r="125" spans="11:47">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row>
    <row r="126" spans="11:47">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row>
    <row r="127" spans="11:47">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row>
    <row r="128" spans="11:47">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row>
    <row r="129" spans="11:47">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row>
    <row r="130" spans="11:47">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row>
    <row r="131" spans="11:47">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row>
    <row r="132" spans="11:47">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row>
    <row r="133" spans="11:47">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row>
    <row r="134" spans="11:47">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row>
    <row r="135" spans="11:47">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row>
    <row r="136" spans="11:47">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row>
    <row r="137" spans="11:47">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row>
    <row r="138" spans="11:47">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row>
    <row r="139" spans="11:47">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c r="AT139" s="110"/>
      <c r="AU139" s="110"/>
    </row>
    <row r="140" spans="11:47">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row>
    <row r="141" spans="11:47">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row>
    <row r="142" spans="11:47">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row>
    <row r="143" spans="11:47">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row>
    <row r="144" spans="11:47">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row>
    <row r="145" spans="11:47">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c r="AQ145" s="110"/>
      <c r="AR145" s="110"/>
      <c r="AS145" s="110"/>
      <c r="AT145" s="110"/>
      <c r="AU145" s="110"/>
    </row>
    <row r="146" spans="11:47">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row>
    <row r="147" spans="11:47">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c r="AQ147" s="110"/>
      <c r="AR147" s="110"/>
      <c r="AS147" s="110"/>
      <c r="AT147" s="110"/>
      <c r="AU147" s="110"/>
    </row>
    <row r="148" spans="11:47">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row>
    <row r="149" spans="11:47">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row>
    <row r="150" spans="11:47">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row>
    <row r="151" spans="11:47">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c r="AQ151" s="110"/>
      <c r="AR151" s="110"/>
      <c r="AS151" s="110"/>
      <c r="AT151" s="110"/>
      <c r="AU151" s="110"/>
    </row>
    <row r="152" spans="11:47">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row>
    <row r="153" spans="11:47">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row>
    <row r="154" spans="11:47">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row>
    <row r="155" spans="11:47">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row>
    <row r="156" spans="11:47">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row>
    <row r="157" spans="11:47">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row>
    <row r="158" spans="11:47">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row>
    <row r="159" spans="11:47">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row>
    <row r="160" spans="11:47">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row>
    <row r="161" spans="11:47">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row>
    <row r="162" spans="11:47">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row>
    <row r="163" spans="11:47">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c r="AO163" s="110"/>
      <c r="AP163" s="110"/>
      <c r="AQ163" s="110"/>
      <c r="AR163" s="110"/>
      <c r="AS163" s="110"/>
      <c r="AT163" s="110"/>
      <c r="AU163" s="110"/>
    </row>
    <row r="164" spans="11:47">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row>
    <row r="165" spans="11:47">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row>
    <row r="166" spans="11:47">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c r="AQ166" s="110"/>
      <c r="AR166" s="110"/>
      <c r="AS166" s="110"/>
      <c r="AT166" s="110"/>
      <c r="AU166" s="110"/>
    </row>
    <row r="167" spans="11:47">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row>
    <row r="168" spans="11:47">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row>
    <row r="169" spans="11:47">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row>
    <row r="170" spans="11:47">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row>
    <row r="171" spans="11:47">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row>
    <row r="172" spans="11:47">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row>
    <row r="173" spans="11:47">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row>
    <row r="174" spans="11:47">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row>
    <row r="175" spans="11:47">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c r="AQ175" s="110"/>
      <c r="AR175" s="110"/>
      <c r="AS175" s="110"/>
      <c r="AT175" s="110"/>
      <c r="AU175" s="110"/>
    </row>
    <row r="176" spans="11:47">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row>
    <row r="177" spans="11:47">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c r="AQ177" s="110"/>
      <c r="AR177" s="110"/>
      <c r="AS177" s="110"/>
      <c r="AT177" s="110"/>
      <c r="AU177" s="110"/>
    </row>
    <row r="178" spans="11:47">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row>
    <row r="179" spans="11:47">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0"/>
      <c r="AN179" s="110"/>
      <c r="AO179" s="110"/>
      <c r="AP179" s="110"/>
      <c r="AQ179" s="110"/>
      <c r="AR179" s="110"/>
      <c r="AS179" s="110"/>
      <c r="AT179" s="110"/>
      <c r="AU179" s="110"/>
    </row>
    <row r="180" spans="11:47">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c r="AQ180" s="110"/>
      <c r="AR180" s="110"/>
      <c r="AS180" s="110"/>
      <c r="AT180" s="110"/>
      <c r="AU180" s="110"/>
    </row>
    <row r="181" spans="11:47">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c r="AG181" s="110"/>
      <c r="AH181" s="110"/>
      <c r="AI181" s="110"/>
      <c r="AJ181" s="110"/>
      <c r="AK181" s="110"/>
      <c r="AL181" s="110"/>
      <c r="AM181" s="110"/>
      <c r="AN181" s="110"/>
      <c r="AO181" s="110"/>
      <c r="AP181" s="110"/>
      <c r="AQ181" s="110"/>
      <c r="AR181" s="110"/>
      <c r="AS181" s="110"/>
      <c r="AT181" s="110"/>
      <c r="AU181" s="110"/>
    </row>
    <row r="182" spans="11:47">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c r="AH182" s="110"/>
      <c r="AI182" s="110"/>
      <c r="AJ182" s="110"/>
      <c r="AK182" s="110"/>
      <c r="AL182" s="110"/>
      <c r="AM182" s="110"/>
      <c r="AN182" s="110"/>
      <c r="AO182" s="110"/>
      <c r="AP182" s="110"/>
      <c r="AQ182" s="110"/>
      <c r="AR182" s="110"/>
      <c r="AS182" s="110"/>
      <c r="AT182" s="110"/>
      <c r="AU182" s="110"/>
    </row>
    <row r="183" spans="11:47">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0"/>
      <c r="AH183" s="110"/>
      <c r="AI183" s="110"/>
      <c r="AJ183" s="110"/>
      <c r="AK183" s="110"/>
      <c r="AL183" s="110"/>
      <c r="AM183" s="110"/>
      <c r="AN183" s="110"/>
      <c r="AO183" s="110"/>
      <c r="AP183" s="110"/>
      <c r="AQ183" s="110"/>
      <c r="AR183" s="110"/>
      <c r="AS183" s="110"/>
      <c r="AT183" s="110"/>
      <c r="AU183" s="110"/>
    </row>
    <row r="184" spans="11:47">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c r="AO184" s="110"/>
      <c r="AP184" s="110"/>
      <c r="AQ184" s="110"/>
      <c r="AR184" s="110"/>
      <c r="AS184" s="110"/>
      <c r="AT184" s="110"/>
      <c r="AU184" s="110"/>
    </row>
    <row r="185" spans="11:47">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row>
  </sheetData>
  <sheetProtection password="C36D" sheet="1" objects="1" scenarios="1"/>
  <mergeCells count="38">
    <mergeCell ref="B29:J29"/>
    <mergeCell ref="B30:J30"/>
    <mergeCell ref="B31:J31"/>
    <mergeCell ref="B25:J28"/>
    <mergeCell ref="B24:J24"/>
    <mergeCell ref="B2:J3"/>
    <mergeCell ref="B4:B7"/>
    <mergeCell ref="C4:C7"/>
    <mergeCell ref="D4:J7"/>
    <mergeCell ref="B8:B12"/>
    <mergeCell ref="C8:C12"/>
    <mergeCell ref="D8:H8"/>
    <mergeCell ref="I8:J8"/>
    <mergeCell ref="D9:G9"/>
    <mergeCell ref="I9:J9"/>
    <mergeCell ref="D10:G10"/>
    <mergeCell ref="I10:J10"/>
    <mergeCell ref="D11:G11"/>
    <mergeCell ref="I11:J11"/>
    <mergeCell ref="D12:E12"/>
    <mergeCell ref="F12:H12"/>
    <mergeCell ref="I12:J12"/>
    <mergeCell ref="B13:B18"/>
    <mergeCell ref="C13:C18"/>
    <mergeCell ref="D13:I13"/>
    <mergeCell ref="D14:I14"/>
    <mergeCell ref="D15:I15"/>
    <mergeCell ref="D16:I16"/>
    <mergeCell ref="D17:I17"/>
    <mergeCell ref="D18:E18"/>
    <mergeCell ref="F18:J18"/>
    <mergeCell ref="D19:I19"/>
    <mergeCell ref="D20:I20"/>
    <mergeCell ref="D21:I21"/>
    <mergeCell ref="B19:B22"/>
    <mergeCell ref="C19:C22"/>
    <mergeCell ref="D22:E22"/>
    <mergeCell ref="F22:J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D9B0-CB44-4068-89F3-C0DF79AD41FE}">
  <dimension ref="A1:L16"/>
  <sheetViews>
    <sheetView workbookViewId="0">
      <selection activeCell="F22" sqref="F22:J22"/>
    </sheetView>
  </sheetViews>
  <sheetFormatPr defaultColWidth="8.88671875" defaultRowHeight="15.05"/>
  <cols>
    <col min="1" max="1" width="44.109375" customWidth="1"/>
    <col min="2" max="3" width="16.88671875" customWidth="1"/>
    <col min="5" max="5" width="13.109375" customWidth="1"/>
    <col min="8" max="8" width="51" customWidth="1"/>
  </cols>
  <sheetData>
    <row r="1" spans="1:12">
      <c r="A1" s="145" t="s">
        <v>545</v>
      </c>
      <c r="B1" s="574" t="s">
        <v>1045</v>
      </c>
    </row>
    <row r="2" spans="1:12">
      <c r="A2" s="145" t="s">
        <v>282</v>
      </c>
      <c r="B2" s="186"/>
      <c r="C2" s="186"/>
      <c r="D2" s="186"/>
      <c r="E2" s="186"/>
      <c r="F2" s="186"/>
      <c r="G2" s="186"/>
      <c r="H2" s="186"/>
      <c r="I2" s="186"/>
      <c r="J2" s="186"/>
      <c r="L2" s="186"/>
    </row>
    <row r="3" spans="1:12">
      <c r="A3" s="145" t="s">
        <v>845</v>
      </c>
      <c r="B3" s="576">
        <v>46328</v>
      </c>
      <c r="H3" s="488"/>
    </row>
    <row r="4" spans="1:12" ht="15.75" thickBot="1">
      <c r="A4" s="145" t="s">
        <v>846</v>
      </c>
      <c r="B4" s="576">
        <v>46538</v>
      </c>
      <c r="C4" s="485"/>
      <c r="H4" s="488"/>
    </row>
    <row r="5" spans="1:12">
      <c r="A5" s="491"/>
      <c r="B5" s="492" t="s">
        <v>1013</v>
      </c>
      <c r="C5" s="493" t="s">
        <v>1014</v>
      </c>
      <c r="D5" s="494"/>
      <c r="E5" s="494"/>
      <c r="F5" s="137"/>
      <c r="H5" s="488"/>
    </row>
    <row r="6" spans="1:12">
      <c r="A6" s="495" t="s">
        <v>579</v>
      </c>
      <c r="B6" s="571">
        <v>250000</v>
      </c>
      <c r="C6" s="571">
        <v>60000</v>
      </c>
      <c r="D6" s="496"/>
      <c r="E6" s="496"/>
      <c r="F6" s="141"/>
      <c r="H6" s="488"/>
    </row>
    <row r="7" spans="1:12">
      <c r="A7" s="495" t="s">
        <v>546</v>
      </c>
      <c r="B7" s="572">
        <v>36</v>
      </c>
      <c r="C7" s="573">
        <v>18</v>
      </c>
      <c r="D7" s="496"/>
      <c r="E7" s="496"/>
      <c r="F7" s="141"/>
      <c r="H7" s="488"/>
    </row>
    <row r="8" spans="1:12">
      <c r="A8" s="495" t="s">
        <v>580</v>
      </c>
      <c r="B8" s="575">
        <v>0.25</v>
      </c>
      <c r="C8" s="575">
        <v>0.25</v>
      </c>
      <c r="D8" s="496"/>
      <c r="E8" s="496" t="s">
        <v>943</v>
      </c>
      <c r="F8" s="497">
        <f>IF('1.G.Data'!C7="Yes",Info!B8,Info!C8)</f>
        <v>0.25</v>
      </c>
      <c r="H8" s="488"/>
    </row>
    <row r="9" spans="1:12">
      <c r="A9" s="495" t="s">
        <v>975</v>
      </c>
      <c r="B9" s="572">
        <v>12</v>
      </c>
      <c r="C9" s="573">
        <v>6</v>
      </c>
      <c r="D9" s="496"/>
      <c r="E9" s="496"/>
      <c r="F9" s="141"/>
      <c r="H9" s="488"/>
    </row>
    <row r="10" spans="1:12">
      <c r="A10" s="495" t="s">
        <v>691</v>
      </c>
      <c r="B10" s="496">
        <v>0.25</v>
      </c>
      <c r="C10" s="498">
        <f>+C11</f>
        <v>1.25</v>
      </c>
      <c r="D10" s="496"/>
      <c r="E10" s="496"/>
      <c r="F10" s="141"/>
      <c r="H10" s="488"/>
    </row>
    <row r="11" spans="1:12" ht="15.75" thickBot="1">
      <c r="A11" s="499"/>
      <c r="B11" s="500">
        <f>1+B8</f>
        <v>1.25</v>
      </c>
      <c r="C11" s="500">
        <f>1+C8</f>
        <v>1.25</v>
      </c>
      <c r="D11" s="158"/>
      <c r="E11" s="158" t="s">
        <v>943</v>
      </c>
      <c r="F11" s="159">
        <f>IF('1.G.Data'!C7="Yes",Info!B11,Info!C11)</f>
        <v>1.25</v>
      </c>
      <c r="H11" s="488"/>
    </row>
    <row r="12" spans="1:12">
      <c r="H12" s="488"/>
    </row>
    <row r="13" spans="1:12">
      <c r="A13" s="145" t="s">
        <v>944</v>
      </c>
      <c r="B13" t="s">
        <v>1011</v>
      </c>
    </row>
    <row r="15" spans="1:12">
      <c r="A15" t="s">
        <v>1000</v>
      </c>
    </row>
    <row r="16" spans="1:12">
      <c r="A16" t="s">
        <v>0</v>
      </c>
    </row>
  </sheetData>
  <sheetProtection algorithmName="SHA-512" hashValue="9tM89bfiQNiSTAbFhauHfkZZABPGRpi4cW5eVHLo1XW8HyObm9F5C+5eL8X29teOoofP3m6304o1fSfPhABvDg==" saltValue="3GdBn9mPV5tVsVk7kB0j2Q=="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EC14-A91D-48C9-A6DC-81AFFDD4E3C0}">
  <sheetPr>
    <tabColor theme="5" tint="-0.249977111117893"/>
  </sheetPr>
  <dimension ref="A1:Y53"/>
  <sheetViews>
    <sheetView topLeftCell="B1" workbookViewId="0">
      <selection activeCell="G1" sqref="G1:L1"/>
    </sheetView>
  </sheetViews>
  <sheetFormatPr defaultColWidth="8.88671875" defaultRowHeight="15.05"/>
  <cols>
    <col min="1" max="1" width="0" style="1" hidden="1" customWidth="1"/>
    <col min="2" max="2" width="42.44140625" style="2" customWidth="1"/>
    <col min="3" max="12" width="12" style="1" customWidth="1"/>
    <col min="13" max="13" width="44" style="116" customWidth="1"/>
    <col min="14" max="14" width="8.88671875" style="109"/>
    <col min="15" max="25" width="18" style="109" customWidth="1"/>
    <col min="26" max="16384" width="8.88671875" style="1"/>
  </cols>
  <sheetData>
    <row r="1" spans="1:13" ht="21.6" customHeight="1">
      <c r="B1" s="671" t="s">
        <v>595</v>
      </c>
      <c r="C1" s="671"/>
      <c r="D1" s="671"/>
      <c r="E1" s="671"/>
      <c r="F1" s="671"/>
      <c r="G1" s="672"/>
      <c r="H1" s="672"/>
      <c r="I1" s="672"/>
      <c r="J1" s="672"/>
      <c r="K1" s="672"/>
      <c r="L1" s="672"/>
      <c r="M1" s="216" t="s">
        <v>663</v>
      </c>
    </row>
    <row r="2" spans="1:13" ht="22.6" customHeight="1">
      <c r="B2" s="113" t="s">
        <v>596</v>
      </c>
      <c r="C2" s="114"/>
      <c r="D2" s="114"/>
      <c r="E2" s="114"/>
      <c r="F2" s="114"/>
      <c r="G2" s="114"/>
      <c r="H2" s="114"/>
      <c r="I2" s="114"/>
      <c r="J2" s="114"/>
      <c r="K2" s="114"/>
      <c r="L2" s="114"/>
      <c r="M2" s="202" t="s">
        <v>662</v>
      </c>
    </row>
    <row r="3" spans="1:13" ht="28.5" customHeight="1">
      <c r="A3" s="117" t="s">
        <v>218</v>
      </c>
      <c r="B3" s="217" t="s">
        <v>589</v>
      </c>
      <c r="C3" s="664"/>
      <c r="D3" s="653"/>
      <c r="E3" s="653"/>
      <c r="F3" s="653"/>
      <c r="G3" s="653"/>
      <c r="H3" s="653"/>
      <c r="I3" s="653"/>
      <c r="J3" s="653"/>
      <c r="K3" s="653"/>
      <c r="L3" s="654"/>
    </row>
    <row r="4" spans="1:13" ht="22.6" customHeight="1">
      <c r="A4" s="1" t="s">
        <v>217</v>
      </c>
      <c r="B4" s="115" t="s">
        <v>590</v>
      </c>
      <c r="C4" s="665"/>
      <c r="D4" s="666"/>
      <c r="E4" s="666"/>
      <c r="F4" s="666"/>
      <c r="G4" s="666"/>
      <c r="H4" s="666"/>
      <c r="I4" s="666"/>
      <c r="J4" s="666"/>
      <c r="K4" s="666"/>
      <c r="L4" s="667"/>
    </row>
    <row r="5" spans="1:13" ht="22.6" customHeight="1">
      <c r="A5" s="117" t="s">
        <v>218</v>
      </c>
      <c r="B5" s="217" t="s">
        <v>591</v>
      </c>
      <c r="C5" s="655"/>
      <c r="D5" s="656"/>
      <c r="E5" s="656"/>
      <c r="F5" s="656"/>
      <c r="G5" s="656"/>
      <c r="H5" s="656"/>
      <c r="I5" s="656"/>
      <c r="J5" s="656"/>
      <c r="K5" s="656"/>
      <c r="L5" s="657"/>
    </row>
    <row r="6" spans="1:13" ht="22.6" customHeight="1">
      <c r="A6" s="1" t="s">
        <v>217</v>
      </c>
      <c r="B6" s="217" t="s">
        <v>867</v>
      </c>
      <c r="C6" s="655"/>
      <c r="D6" s="656"/>
      <c r="E6" s="656"/>
      <c r="F6" s="656"/>
      <c r="G6" s="656"/>
      <c r="H6" s="656"/>
      <c r="I6" s="656"/>
      <c r="J6" s="656"/>
      <c r="K6" s="656"/>
      <c r="L6" s="657"/>
      <c r="M6" s="214" t="s">
        <v>979</v>
      </c>
    </row>
    <row r="7" spans="1:13" ht="22.6" customHeight="1">
      <c r="A7" s="1" t="s">
        <v>217</v>
      </c>
      <c r="B7" s="2" t="s">
        <v>974</v>
      </c>
      <c r="C7" s="661"/>
      <c r="D7" s="661"/>
      <c r="E7" s="668" t="s">
        <v>868</v>
      </c>
      <c r="F7" s="669"/>
      <c r="G7" s="669"/>
      <c r="H7" s="669"/>
      <c r="I7" s="669"/>
      <c r="J7" s="670"/>
      <c r="K7" s="662" t="str">
        <f>IF(G1="","",IF(G1=Info!B5,Info!B6,Info!C6))</f>
        <v/>
      </c>
      <c r="L7" s="663"/>
    </row>
    <row r="8" spans="1:13" ht="22.6" customHeight="1">
      <c r="B8" s="658" t="s">
        <v>597</v>
      </c>
      <c r="C8" s="658"/>
      <c r="D8" s="658"/>
      <c r="E8" s="658"/>
      <c r="F8" s="658"/>
      <c r="G8" s="658"/>
      <c r="H8" s="658"/>
      <c r="I8" s="658"/>
      <c r="J8" s="658"/>
      <c r="K8" s="658"/>
      <c r="L8" s="658"/>
    </row>
    <row r="9" spans="1:13" ht="22.6" customHeight="1">
      <c r="A9" s="1" t="s">
        <v>217</v>
      </c>
      <c r="B9" s="217" t="s">
        <v>731</v>
      </c>
      <c r="C9" s="655"/>
      <c r="D9" s="656"/>
      <c r="E9" s="656"/>
      <c r="F9" s="656"/>
      <c r="G9" s="656"/>
      <c r="H9" s="656"/>
      <c r="I9" s="656"/>
      <c r="J9" s="656"/>
      <c r="K9" s="656"/>
      <c r="L9" s="657"/>
      <c r="M9" s="203"/>
    </row>
    <row r="10" spans="1:13" ht="22.6" hidden="1" customHeight="1">
      <c r="A10" s="1" t="s">
        <v>217</v>
      </c>
      <c r="B10" s="115" t="s">
        <v>714</v>
      </c>
      <c r="C10" s="655"/>
      <c r="D10" s="656"/>
      <c r="E10" s="656"/>
      <c r="F10" s="656"/>
      <c r="G10" s="656"/>
      <c r="H10" s="656"/>
      <c r="I10" s="656"/>
      <c r="J10" s="656"/>
      <c r="K10" s="656"/>
      <c r="L10" s="657"/>
      <c r="M10" s="203" t="s">
        <v>592</v>
      </c>
    </row>
    <row r="11" spans="1:13" ht="22.6" hidden="1" customHeight="1">
      <c r="A11" s="1" t="s">
        <v>217</v>
      </c>
      <c r="B11" s="2" t="s">
        <v>715</v>
      </c>
      <c r="C11" s="655"/>
      <c r="D11" s="656"/>
      <c r="E11" s="656"/>
      <c r="F11" s="656"/>
      <c r="G11" s="656"/>
      <c r="H11" s="656"/>
      <c r="I11" s="656"/>
      <c r="J11" s="656"/>
      <c r="K11" s="656"/>
      <c r="L11" s="657"/>
      <c r="M11" s="203" t="s">
        <v>592</v>
      </c>
    </row>
    <row r="12" spans="1:13" ht="22.6" customHeight="1">
      <c r="B12" s="658" t="s">
        <v>598</v>
      </c>
      <c r="C12" s="658"/>
      <c r="D12" s="658"/>
      <c r="E12" s="658"/>
      <c r="F12" s="658"/>
      <c r="G12" s="658"/>
      <c r="H12" s="658"/>
      <c r="I12" s="658"/>
      <c r="J12" s="658"/>
      <c r="K12" s="658"/>
      <c r="L12" s="658"/>
    </row>
    <row r="13" spans="1:13" ht="22.6" customHeight="1">
      <c r="A13" s="117" t="s">
        <v>218</v>
      </c>
      <c r="B13" s="217" t="s">
        <v>593</v>
      </c>
      <c r="C13" s="659"/>
      <c r="D13" s="660"/>
      <c r="E13" s="674" t="str">
        <f>IF(C14="","","Ending Date:")</f>
        <v>Ending Date:</v>
      </c>
      <c r="F13" s="674"/>
      <c r="G13" s="674"/>
      <c r="H13" s="674"/>
      <c r="I13" s="674"/>
      <c r="J13" s="674"/>
      <c r="K13" s="673" t="str">
        <f>IF(C14=0,"",(EDATE(C13,C14)-1))</f>
        <v/>
      </c>
      <c r="L13" s="673"/>
      <c r="M13" s="214" t="str">
        <f>"Earliest possible start of funded project: "&amp;DAY(Info!B3)&amp;"/"&amp;MONTH(Info!B3)&amp;"/"&amp;YEAR(Info!B3)</f>
        <v>Earliest possible start of funded project: 2/11/2026</v>
      </c>
    </row>
    <row r="14" spans="1:13" ht="22.6" customHeight="1">
      <c r="A14" s="117" t="s">
        <v>218</v>
      </c>
      <c r="B14" s="218" t="s">
        <v>594</v>
      </c>
      <c r="C14" s="661">
        <f>IF(G1="",0,HLOOKUP(G1,Info!B5:C7,3,FALSE))</f>
        <v>0</v>
      </c>
      <c r="D14" s="661"/>
      <c r="E14" s="675" t="s">
        <v>905</v>
      </c>
      <c r="F14" s="676"/>
      <c r="G14" s="676"/>
      <c r="H14" s="676"/>
      <c r="I14" s="676"/>
      <c r="J14" s="676"/>
      <c r="K14" s="676"/>
      <c r="L14" s="676"/>
      <c r="M14" s="214" t="str">
        <f>"Latest possible start of funded projects: "&amp;DAY(Info!B4)&amp;"/"&amp;MONTH(Info!B4)&amp;"/"&amp;YEAR(Info!B4)</f>
        <v>Latest possible start of funded projects: 31/5/2027</v>
      </c>
    </row>
    <row r="15" spans="1:13" ht="24.05" customHeight="1">
      <c r="B15" s="658" t="s">
        <v>657</v>
      </c>
      <c r="C15" s="658"/>
      <c r="D15" s="658"/>
      <c r="E15" s="658"/>
      <c r="F15" s="658"/>
      <c r="G15" s="658"/>
      <c r="H15" s="658"/>
      <c r="I15" s="658"/>
      <c r="J15" s="658"/>
      <c r="K15" s="658"/>
      <c r="L15" s="658"/>
      <c r="M15" s="215"/>
    </row>
    <row r="16" spans="1:13" ht="22.6" customHeight="1">
      <c r="A16" s="117" t="s">
        <v>218</v>
      </c>
      <c r="B16" s="217" t="s">
        <v>716</v>
      </c>
      <c r="C16" s="655"/>
      <c r="D16" s="656"/>
      <c r="E16" s="656"/>
      <c r="F16" s="656"/>
      <c r="G16" s="656"/>
      <c r="H16" s="656"/>
      <c r="I16" s="656"/>
      <c r="J16" s="656"/>
      <c r="K16" s="656"/>
      <c r="L16" s="657"/>
    </row>
    <row r="17" spans="1:13" ht="22.6" customHeight="1">
      <c r="A17" s="117" t="s">
        <v>218</v>
      </c>
      <c r="B17" s="218" t="s">
        <v>147</v>
      </c>
      <c r="C17" s="655"/>
      <c r="D17" s="656"/>
      <c r="E17" s="656"/>
      <c r="F17" s="656"/>
      <c r="G17" s="656"/>
      <c r="H17" s="656"/>
      <c r="I17" s="656"/>
      <c r="J17" s="656"/>
      <c r="K17" s="656"/>
      <c r="L17" s="657"/>
    </row>
    <row r="18" spans="1:13" ht="22.6" customHeight="1">
      <c r="A18" s="117" t="s">
        <v>218</v>
      </c>
      <c r="B18" s="217" t="s">
        <v>718</v>
      </c>
      <c r="C18" s="655"/>
      <c r="D18" s="656"/>
      <c r="E18" s="656"/>
      <c r="F18" s="656"/>
      <c r="G18" s="656"/>
      <c r="H18" s="656"/>
      <c r="I18" s="656"/>
      <c r="J18" s="656"/>
      <c r="K18" s="656"/>
      <c r="L18" s="657"/>
    </row>
    <row r="19" spans="1:13" ht="22.6" customHeight="1">
      <c r="A19" s="117" t="s">
        <v>218</v>
      </c>
      <c r="B19" s="218" t="s">
        <v>722</v>
      </c>
      <c r="C19" s="664"/>
      <c r="D19" s="653"/>
      <c r="E19" s="653"/>
      <c r="F19" s="653"/>
      <c r="G19" s="653"/>
      <c r="H19" s="653"/>
      <c r="I19" s="653"/>
      <c r="J19" s="653"/>
      <c r="K19" s="653"/>
      <c r="L19" s="654"/>
    </row>
    <row r="20" spans="1:13" ht="22.6" customHeight="1">
      <c r="A20" s="117" t="s">
        <v>218</v>
      </c>
      <c r="B20" s="217" t="s">
        <v>655</v>
      </c>
      <c r="C20" s="655"/>
      <c r="D20" s="656"/>
      <c r="E20" s="656"/>
      <c r="F20" s="656"/>
      <c r="G20" s="656"/>
      <c r="H20" s="656"/>
      <c r="I20" s="656"/>
      <c r="J20" s="656"/>
      <c r="K20" s="656"/>
      <c r="L20" s="657"/>
    </row>
    <row r="21" spans="1:13" ht="22.6" customHeight="1">
      <c r="A21" s="117"/>
      <c r="B21" s="217" t="s">
        <v>602</v>
      </c>
      <c r="C21" s="655"/>
      <c r="D21" s="656"/>
      <c r="E21" s="656"/>
      <c r="F21" s="656"/>
      <c r="G21" s="656"/>
      <c r="H21" s="656"/>
      <c r="I21" s="656"/>
      <c r="J21" s="656"/>
      <c r="K21" s="656"/>
      <c r="L21" s="657"/>
    </row>
    <row r="22" spans="1:13" ht="22.6" customHeight="1">
      <c r="A22" s="117"/>
      <c r="B22" s="218" t="s">
        <v>720</v>
      </c>
      <c r="C22" s="652"/>
      <c r="D22" s="653"/>
      <c r="E22" s="653"/>
      <c r="F22" s="653"/>
      <c r="G22" s="653"/>
      <c r="H22" s="653"/>
      <c r="I22" s="653"/>
      <c r="J22" s="653"/>
      <c r="K22" s="653"/>
      <c r="L22" s="654"/>
    </row>
    <row r="23" spans="1:13" ht="22.6" customHeight="1">
      <c r="A23" s="117"/>
      <c r="B23" s="217" t="s">
        <v>148</v>
      </c>
      <c r="C23" s="677"/>
      <c r="D23" s="653"/>
      <c r="E23" s="653"/>
      <c r="F23" s="653"/>
      <c r="G23" s="653"/>
      <c r="H23" s="653"/>
      <c r="I23" s="653"/>
      <c r="J23" s="653"/>
      <c r="K23" s="653"/>
      <c r="L23" s="654"/>
    </row>
    <row r="24" spans="1:13" ht="41.1" customHeight="1">
      <c r="A24" s="117"/>
      <c r="B24" s="213" t="s">
        <v>333</v>
      </c>
      <c r="C24" s="650"/>
      <c r="D24" s="650"/>
      <c r="E24" s="650"/>
      <c r="F24" s="650"/>
      <c r="G24" s="650"/>
      <c r="H24" s="650"/>
      <c r="I24" s="650"/>
      <c r="J24" s="650"/>
      <c r="K24" s="650"/>
      <c r="L24" s="650"/>
    </row>
    <row r="25" spans="1:13" ht="22.6" hidden="1" customHeight="1">
      <c r="B25" s="658" t="s">
        <v>656</v>
      </c>
      <c r="C25" s="658"/>
      <c r="D25" s="658"/>
      <c r="E25" s="658"/>
      <c r="F25" s="658"/>
      <c r="G25" s="658"/>
      <c r="H25" s="658"/>
      <c r="I25" s="658"/>
      <c r="J25" s="658"/>
      <c r="K25" s="658"/>
      <c r="L25" s="658"/>
      <c r="M25" s="651" t="s">
        <v>658</v>
      </c>
    </row>
    <row r="26" spans="1:13" ht="22.6" hidden="1" customHeight="1">
      <c r="A26" s="117" t="s">
        <v>219</v>
      </c>
      <c r="B26" s="217" t="s">
        <v>717</v>
      </c>
      <c r="C26" s="655"/>
      <c r="D26" s="656"/>
      <c r="E26" s="656"/>
      <c r="F26" s="656"/>
      <c r="G26" s="656"/>
      <c r="H26" s="656"/>
      <c r="I26" s="656"/>
      <c r="J26" s="656"/>
      <c r="K26" s="656"/>
      <c r="L26" s="657"/>
      <c r="M26" s="651"/>
    </row>
    <row r="27" spans="1:13" ht="22.6" hidden="1" customHeight="1">
      <c r="A27" s="117" t="s">
        <v>219</v>
      </c>
      <c r="B27" s="218" t="s">
        <v>149</v>
      </c>
      <c r="C27" s="655"/>
      <c r="D27" s="656"/>
      <c r="E27" s="656"/>
      <c r="F27" s="656"/>
      <c r="G27" s="656"/>
      <c r="H27" s="656"/>
      <c r="I27" s="656"/>
      <c r="J27" s="656"/>
      <c r="K27" s="656"/>
      <c r="L27" s="657"/>
      <c r="M27" s="651"/>
    </row>
    <row r="28" spans="1:13" ht="22.6" hidden="1" customHeight="1">
      <c r="A28" s="117" t="s">
        <v>219</v>
      </c>
      <c r="B28" s="217" t="s">
        <v>719</v>
      </c>
      <c r="C28" s="655"/>
      <c r="D28" s="656"/>
      <c r="E28" s="656"/>
      <c r="F28" s="656"/>
      <c r="G28" s="656"/>
      <c r="H28" s="656"/>
      <c r="I28" s="656"/>
      <c r="J28" s="656"/>
      <c r="K28" s="656"/>
      <c r="L28" s="657"/>
      <c r="M28" s="214"/>
    </row>
    <row r="29" spans="1:13" ht="22.6" hidden="1" customHeight="1">
      <c r="A29" s="117" t="s">
        <v>219</v>
      </c>
      <c r="B29" s="218" t="s">
        <v>723</v>
      </c>
      <c r="C29" s="655"/>
      <c r="D29" s="656"/>
      <c r="E29" s="656"/>
      <c r="F29" s="656"/>
      <c r="G29" s="656"/>
      <c r="H29" s="656"/>
      <c r="I29" s="656"/>
      <c r="J29" s="656"/>
      <c r="K29" s="656"/>
      <c r="L29" s="657"/>
    </row>
    <row r="30" spans="1:13" ht="22.6" hidden="1" customHeight="1">
      <c r="A30" s="117" t="s">
        <v>219</v>
      </c>
      <c r="B30" s="217" t="s">
        <v>654</v>
      </c>
      <c r="C30" s="655"/>
      <c r="D30" s="656"/>
      <c r="E30" s="656"/>
      <c r="F30" s="656"/>
      <c r="G30" s="656"/>
      <c r="H30" s="656"/>
      <c r="I30" s="656"/>
      <c r="J30" s="656"/>
      <c r="K30" s="656"/>
      <c r="L30" s="657"/>
    </row>
    <row r="31" spans="1:13" ht="22.6" hidden="1" customHeight="1">
      <c r="A31" s="117"/>
      <c r="B31" s="218" t="s">
        <v>721</v>
      </c>
      <c r="C31" s="655"/>
      <c r="D31" s="656"/>
      <c r="E31" s="656"/>
      <c r="F31" s="656"/>
      <c r="G31" s="656"/>
      <c r="H31" s="656"/>
      <c r="I31" s="656"/>
      <c r="J31" s="656"/>
      <c r="K31" s="656"/>
      <c r="L31" s="657"/>
    </row>
    <row r="32" spans="1:13" ht="22.6" hidden="1" customHeight="1">
      <c r="A32" s="117"/>
      <c r="B32" s="217" t="s">
        <v>150</v>
      </c>
      <c r="C32" s="655"/>
      <c r="D32" s="656"/>
      <c r="E32" s="656"/>
      <c r="F32" s="656"/>
      <c r="G32" s="656"/>
      <c r="H32" s="656"/>
      <c r="I32" s="656"/>
      <c r="J32" s="656"/>
      <c r="K32" s="656"/>
      <c r="L32" s="657"/>
    </row>
    <row r="33" spans="1:13" ht="41.1" hidden="1" customHeight="1">
      <c r="A33" s="117"/>
      <c r="B33" s="213" t="str">
        <f>+B24</f>
        <v>Notes:</v>
      </c>
      <c r="C33" s="650"/>
      <c r="D33" s="650"/>
      <c r="E33" s="650"/>
      <c r="F33" s="650"/>
      <c r="G33" s="650"/>
      <c r="H33" s="650"/>
      <c r="I33" s="650"/>
      <c r="J33" s="650"/>
      <c r="K33" s="650"/>
      <c r="L33" s="650"/>
    </row>
    <row r="34" spans="1:13">
      <c r="B34" s="521" t="s">
        <v>97</v>
      </c>
    </row>
    <row r="35" spans="1:13">
      <c r="B35" s="522" t="str">
        <f>+Info!B1</f>
        <v>Ficheiro Apoio_LUMP SUM_V2026.02.24</v>
      </c>
      <c r="C35" s="109"/>
      <c r="D35" s="109"/>
      <c r="E35" s="109"/>
      <c r="F35" s="109"/>
      <c r="G35" s="109"/>
      <c r="H35" s="109"/>
      <c r="I35" s="109"/>
      <c r="J35" s="109"/>
      <c r="K35" s="109"/>
      <c r="L35" s="109"/>
      <c r="M35" s="220"/>
    </row>
    <row r="36" spans="1:13">
      <c r="B36" s="219"/>
      <c r="C36" s="109"/>
      <c r="D36" s="109"/>
      <c r="E36" s="109"/>
      <c r="F36" s="109"/>
      <c r="G36" s="109"/>
      <c r="H36" s="109"/>
      <c r="I36" s="109"/>
      <c r="J36" s="109"/>
      <c r="K36" s="109"/>
      <c r="L36" s="109"/>
      <c r="M36" s="220"/>
    </row>
    <row r="37" spans="1:13">
      <c r="B37" s="219"/>
      <c r="C37" s="109"/>
      <c r="D37" s="109"/>
      <c r="E37" s="109"/>
      <c r="F37" s="109"/>
      <c r="G37" s="109"/>
      <c r="H37" s="109"/>
      <c r="I37" s="109"/>
      <c r="J37" s="109"/>
      <c r="K37" s="109"/>
      <c r="L37" s="109"/>
      <c r="M37" s="220"/>
    </row>
    <row r="38" spans="1:13">
      <c r="B38" s="219"/>
      <c r="C38" s="109"/>
      <c r="D38" s="109"/>
      <c r="E38" s="109"/>
      <c r="F38" s="109"/>
      <c r="G38" s="109"/>
      <c r="H38" s="109"/>
      <c r="I38" s="109"/>
      <c r="J38" s="109"/>
      <c r="K38" s="109"/>
      <c r="L38" s="109"/>
      <c r="M38" s="220"/>
    </row>
    <row r="39" spans="1:13">
      <c r="B39" s="219"/>
      <c r="C39" s="109"/>
      <c r="D39" s="109"/>
      <c r="E39" s="109"/>
      <c r="F39" s="109"/>
      <c r="G39" s="109"/>
      <c r="H39" s="109"/>
      <c r="I39" s="109"/>
      <c r="J39" s="109"/>
      <c r="K39" s="109"/>
      <c r="L39" s="109"/>
      <c r="M39" s="220"/>
    </row>
    <row r="40" spans="1:13">
      <c r="B40" s="219"/>
      <c r="C40" s="109"/>
      <c r="D40" s="109"/>
      <c r="E40" s="109"/>
      <c r="F40" s="109"/>
      <c r="G40" s="109"/>
      <c r="H40" s="109"/>
      <c r="I40" s="109"/>
      <c r="J40" s="109"/>
      <c r="K40" s="109"/>
      <c r="L40" s="109"/>
      <c r="M40" s="220"/>
    </row>
    <row r="41" spans="1:13">
      <c r="B41" s="219"/>
      <c r="C41" s="109"/>
      <c r="D41" s="109"/>
      <c r="E41" s="109"/>
      <c r="F41" s="109"/>
      <c r="G41" s="109"/>
      <c r="H41" s="109"/>
      <c r="I41" s="109"/>
      <c r="J41" s="109"/>
      <c r="K41" s="109"/>
      <c r="L41" s="109"/>
      <c r="M41" s="220"/>
    </row>
    <row r="42" spans="1:13">
      <c r="B42" s="219"/>
      <c r="C42" s="109"/>
      <c r="D42" s="109"/>
      <c r="E42" s="109"/>
      <c r="F42" s="109"/>
      <c r="G42" s="109"/>
      <c r="H42" s="109"/>
      <c r="I42" s="109"/>
      <c r="J42" s="109"/>
      <c r="K42" s="109"/>
      <c r="L42" s="109"/>
      <c r="M42" s="220"/>
    </row>
    <row r="43" spans="1:13">
      <c r="B43" s="219"/>
      <c r="C43" s="109"/>
      <c r="D43" s="109"/>
      <c r="E43" s="109"/>
      <c r="F43" s="109"/>
      <c r="G43" s="109"/>
      <c r="H43" s="109"/>
      <c r="I43" s="109"/>
      <c r="J43" s="109"/>
      <c r="K43" s="109"/>
      <c r="L43" s="109"/>
      <c r="M43" s="220"/>
    </row>
    <row r="44" spans="1:13">
      <c r="B44" s="219"/>
      <c r="C44" s="109"/>
      <c r="D44" s="109"/>
      <c r="E44" s="109"/>
      <c r="F44" s="109"/>
      <c r="G44" s="109"/>
      <c r="H44" s="109"/>
      <c r="I44" s="109"/>
      <c r="J44" s="109"/>
      <c r="K44" s="109"/>
      <c r="L44" s="109"/>
      <c r="M44" s="220"/>
    </row>
    <row r="45" spans="1:13">
      <c r="B45" s="219"/>
      <c r="C45" s="109"/>
      <c r="D45" s="109"/>
      <c r="E45" s="109"/>
      <c r="F45" s="109"/>
      <c r="G45" s="109"/>
      <c r="H45" s="109"/>
      <c r="I45" s="109"/>
      <c r="J45" s="109"/>
      <c r="K45" s="109"/>
      <c r="L45" s="109"/>
      <c r="M45" s="220"/>
    </row>
    <row r="46" spans="1:13">
      <c r="B46" s="219"/>
      <c r="C46" s="109"/>
      <c r="D46" s="109"/>
      <c r="E46" s="109"/>
      <c r="F46" s="109"/>
      <c r="G46" s="109"/>
      <c r="H46" s="109"/>
      <c r="I46" s="109"/>
      <c r="J46" s="109"/>
      <c r="K46" s="109"/>
      <c r="L46" s="109"/>
      <c r="M46" s="220"/>
    </row>
    <row r="47" spans="1:13">
      <c r="B47" s="219"/>
      <c r="C47" s="109"/>
      <c r="D47" s="109"/>
      <c r="E47" s="109"/>
      <c r="F47" s="109"/>
      <c r="G47" s="109"/>
      <c r="H47" s="109"/>
      <c r="I47" s="109"/>
      <c r="J47" s="109"/>
      <c r="K47" s="109"/>
      <c r="L47" s="109"/>
      <c r="M47" s="220"/>
    </row>
    <row r="48" spans="1:13">
      <c r="B48" s="219"/>
      <c r="C48" s="109"/>
      <c r="D48" s="109"/>
      <c r="E48" s="109"/>
      <c r="F48" s="109"/>
      <c r="G48" s="109"/>
      <c r="H48" s="109"/>
      <c r="I48" s="109"/>
      <c r="J48" s="109"/>
      <c r="K48" s="109"/>
      <c r="L48" s="109"/>
      <c r="M48" s="220"/>
    </row>
    <row r="49" spans="2:13">
      <c r="B49" s="219"/>
      <c r="C49" s="109"/>
      <c r="D49" s="109"/>
      <c r="E49" s="109"/>
      <c r="F49" s="109"/>
      <c r="G49" s="109"/>
      <c r="H49" s="109"/>
      <c r="I49" s="109"/>
      <c r="J49" s="109"/>
      <c r="K49" s="109"/>
      <c r="L49" s="109"/>
      <c r="M49" s="220"/>
    </row>
    <row r="50" spans="2:13">
      <c r="B50" s="219"/>
      <c r="C50" s="109"/>
      <c r="D50" s="109"/>
      <c r="E50" s="109"/>
      <c r="F50" s="109"/>
      <c r="G50" s="109"/>
      <c r="H50" s="109"/>
      <c r="I50" s="109"/>
      <c r="J50" s="109"/>
      <c r="K50" s="109"/>
      <c r="L50" s="109"/>
      <c r="M50" s="220"/>
    </row>
    <row r="51" spans="2:13">
      <c r="B51" s="219"/>
      <c r="C51" s="109"/>
      <c r="D51" s="109"/>
      <c r="E51" s="109"/>
      <c r="F51" s="109"/>
      <c r="G51" s="109"/>
      <c r="H51" s="109"/>
      <c r="I51" s="109"/>
      <c r="J51" s="109"/>
      <c r="K51" s="109"/>
      <c r="L51" s="109"/>
      <c r="M51" s="220"/>
    </row>
    <row r="52" spans="2:13">
      <c r="B52" s="219"/>
      <c r="C52" s="109"/>
      <c r="D52" s="109"/>
      <c r="E52" s="109"/>
      <c r="F52" s="109"/>
      <c r="G52" s="109"/>
      <c r="H52" s="109"/>
      <c r="I52" s="109"/>
      <c r="J52" s="109"/>
      <c r="K52" s="109"/>
      <c r="L52" s="109"/>
      <c r="M52" s="220"/>
    </row>
    <row r="53" spans="2:13">
      <c r="B53" s="219"/>
      <c r="C53" s="109"/>
      <c r="D53" s="109"/>
      <c r="E53" s="109"/>
      <c r="F53" s="109"/>
      <c r="G53" s="109"/>
      <c r="H53" s="109"/>
      <c r="I53" s="109"/>
      <c r="J53" s="109"/>
      <c r="K53" s="109"/>
      <c r="L53" s="109"/>
      <c r="M53" s="220"/>
    </row>
  </sheetData>
  <sheetProtection algorithmName="SHA-512" hashValue="Xo7+ZAdQ7c8JbbZ1Dh50IBYsHUBSY6IOHESsM8J/jH7sO+w4xysspE+xpm/eXUoZqQ+indjaxKCHkBKLqw9j0g==" saltValue="R/9jTfKIyB1oD7hx+UaJXA==" spinCount="100000" sheet="1" formatRows="0" autoFilter="0"/>
  <dataConsolidate/>
  <mergeCells count="39">
    <mergeCell ref="B15:L15"/>
    <mergeCell ref="C16:L16"/>
    <mergeCell ref="C17:L17"/>
    <mergeCell ref="C18:L18"/>
    <mergeCell ref="C23:L23"/>
    <mergeCell ref="C19:L19"/>
    <mergeCell ref="C20:L20"/>
    <mergeCell ref="C21:L21"/>
    <mergeCell ref="C14:D14"/>
    <mergeCell ref="K13:L13"/>
    <mergeCell ref="B12:L12"/>
    <mergeCell ref="E13:J13"/>
    <mergeCell ref="E14:L14"/>
    <mergeCell ref="C3:L3"/>
    <mergeCell ref="C4:L4"/>
    <mergeCell ref="C6:L6"/>
    <mergeCell ref="E7:J7"/>
    <mergeCell ref="B1:F1"/>
    <mergeCell ref="G1:L1"/>
    <mergeCell ref="B8:L8"/>
    <mergeCell ref="C5:L5"/>
    <mergeCell ref="C11:L11"/>
    <mergeCell ref="C13:D13"/>
    <mergeCell ref="C9:L9"/>
    <mergeCell ref="C10:L10"/>
    <mergeCell ref="C7:D7"/>
    <mergeCell ref="K7:L7"/>
    <mergeCell ref="C33:L33"/>
    <mergeCell ref="M25:M27"/>
    <mergeCell ref="C22:L22"/>
    <mergeCell ref="C31:L31"/>
    <mergeCell ref="C24:L24"/>
    <mergeCell ref="C30:L30"/>
    <mergeCell ref="C28:L28"/>
    <mergeCell ref="C29:L29"/>
    <mergeCell ref="B25:L25"/>
    <mergeCell ref="C32:L32"/>
    <mergeCell ref="C26:L26"/>
    <mergeCell ref="C27:L27"/>
  </mergeCells>
  <conditionalFormatting sqref="C24">
    <cfRule type="containsBlanks" dxfId="469" priority="31">
      <formula>LEN(TRIM(C24))=0</formula>
    </cfRule>
  </conditionalFormatting>
  <conditionalFormatting sqref="C33">
    <cfRule type="containsBlanks" dxfId="468" priority="21">
      <formula>LEN(TRIM(C33))=0</formula>
    </cfRule>
  </conditionalFormatting>
  <conditionalFormatting sqref="C7:D7">
    <cfRule type="containsBlanks" dxfId="467" priority="3">
      <formula>LEN(TRIM(C7))=0</formula>
    </cfRule>
  </conditionalFormatting>
  <conditionalFormatting sqref="C13:D14">
    <cfRule type="containsBlanks" dxfId="466" priority="24">
      <formula>LEN(TRIM(C13))=0</formula>
    </cfRule>
  </conditionalFormatting>
  <conditionalFormatting sqref="C3:L3">
    <cfRule type="containsBlanks" dxfId="465" priority="27">
      <formula>LEN(TRIM(C3))=0</formula>
    </cfRule>
  </conditionalFormatting>
  <conditionalFormatting sqref="C4:L4 B7 E7 K7:L7 B8:L8 C10:L11 C24:L24">
    <cfRule type="containsBlanks" dxfId="464" priority="20">
      <formula>LEN(TRIM(B4))=0</formula>
    </cfRule>
  </conditionalFormatting>
  <conditionalFormatting sqref="C5:L6">
    <cfRule type="containsBlanks" dxfId="463" priority="4">
      <formula>LEN(TRIM(C5))=0</formula>
    </cfRule>
  </conditionalFormatting>
  <conditionalFormatting sqref="C9:L9">
    <cfRule type="containsBlanks" dxfId="462" priority="25">
      <formula>LEN(TRIM(C9))=0</formula>
    </cfRule>
  </conditionalFormatting>
  <conditionalFormatting sqref="C16:L22">
    <cfRule type="containsBlanks" dxfId="461" priority="7">
      <formula>LEN(TRIM(C16))=0</formula>
    </cfRule>
  </conditionalFormatting>
  <conditionalFormatting sqref="C26:L27">
    <cfRule type="containsBlanks" dxfId="460" priority="30">
      <formula>LEN(TRIM(C26))=0</formula>
    </cfRule>
  </conditionalFormatting>
  <conditionalFormatting sqref="C26:L33">
    <cfRule type="containsBlanks" dxfId="459" priority="9">
      <formula>LEN(TRIM(C26))=0</formula>
    </cfRule>
  </conditionalFormatting>
  <conditionalFormatting sqref="C29:L32">
    <cfRule type="containsBlanks" dxfId="458" priority="10">
      <formula>LEN(TRIM(C29))=0</formula>
    </cfRule>
  </conditionalFormatting>
  <conditionalFormatting sqref="C23:L23">
    <cfRule type="containsBlanks" dxfId="457" priority="2">
      <formula>LEN(TRIM(C23))=0</formula>
    </cfRule>
  </conditionalFormatting>
  <conditionalFormatting sqref="G1:L1">
    <cfRule type="containsBlanks" dxfId="456" priority="1">
      <formula>LEN(TRIM(G1))=0</formula>
    </cfRule>
  </conditionalFormatting>
  <dataValidations xWindow="409" yWindow="606" count="1">
    <dataValidation type="list" allowBlank="1" showInputMessage="1" showErrorMessage="1" sqref="C7:D7" xr:uid="{C0F9E86E-FFE2-4BBE-9AF4-C68527758931}">
      <formula1>"Yes,No"</formula1>
    </dataValidation>
  </dataValidations>
  <hyperlinks>
    <hyperlink ref="M10:M11" r:id="rId1" display="Consult the Application Guide (pag. 31)" xr:uid="{B9976B30-91C3-4F57-9375-BC2EA6957D1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409" yWindow="606" count="10">
        <x14:dataValidation type="list" allowBlank="1" showInputMessage="1" showErrorMessage="1" xr:uid="{29878A1E-0A8E-4711-A790-80513BF7ABD7}">
          <x14:formula1>
            <xm:f>'1.1'!$A$2:$A$8</xm:f>
          </x14:formula1>
          <xm:sqref>C9:L9</xm:sqref>
        </x14:dataValidation>
        <x14:dataValidation type="list" allowBlank="1" showInputMessage="1" showErrorMessage="1" xr:uid="{5E7136EE-9217-4F6A-BBF2-F299E8C97DCC}">
          <x14:formula1>
            <xm:f>'1.1'!$C$2:$C$12</xm:f>
          </x14:formula1>
          <xm:sqref>C30:L30 C20:L20</xm:sqref>
        </x14:dataValidation>
        <x14:dataValidation type="list" allowBlank="1" showInputMessage="1" showErrorMessage="1" xr:uid="{ADE7A33C-3086-42A8-A7BF-BA533622486B}">
          <x14:formula1>
            <xm:f>'1.1'!$M$12:$M$15</xm:f>
          </x14:formula1>
          <xm:sqref>C29:L29</xm:sqref>
        </x14:dataValidation>
        <x14:dataValidation type="list" allowBlank="1" showInputMessage="1" showErrorMessage="1" xr:uid="{DD8B0CCB-6C8E-412C-8FEA-E89DA5AF07C0}">
          <x14:formula1>
            <xm:f>'1.1'!$H$2:$H$7</xm:f>
          </x14:formula1>
          <xm:sqref>C28:L28</xm:sqref>
        </x14:dataValidation>
        <x14:dataValidation type="list" allowBlank="1" showInputMessage="1" showErrorMessage="1" xr:uid="{939D6FA5-E4A5-4E51-9BF9-572D72F29290}">
          <x14:formula1>
            <xm:f>'1.1'!$F$2:$F$8</xm:f>
          </x14:formula1>
          <xm:sqref>C19:L19</xm:sqref>
        </x14:dataValidation>
        <x14:dataValidation type="list" allowBlank="1" showInputMessage="1" showErrorMessage="1" xr:uid="{D914E1A2-518A-4CBF-9626-A13A67300024}">
          <x14:formula1>
            <xm:f>'1.1'!$H$2:$H$9</xm:f>
          </x14:formula1>
          <xm:sqref>C18:L18</xm:sqref>
        </x14:dataValidation>
        <x14:dataValidation type="list" allowBlank="1" showInputMessage="1" showErrorMessage="1" xr:uid="{8431713F-0AAC-4E7F-8EA2-C481EC74D11F}">
          <x14:formula1>
            <xm:f>'1.1'!$C$19:$C$31</xm:f>
          </x14:formula1>
          <xm:sqref>C21:L21</xm:sqref>
        </x14:dataValidation>
        <x14:dataValidation type="list" allowBlank="1" showInputMessage="1" showErrorMessage="1" xr:uid="{47F9C6F1-F875-4359-A4A3-426E5B611F78}">
          <x14:formula1>
            <xm:f>Info!$B$5:$C$5</xm:f>
          </x14:formula1>
          <xm:sqref>G1:L1</xm:sqref>
        </x14:dataValidation>
        <x14:dataValidation type="date" allowBlank="1" showInputMessage="1" showErrorMessage="1" error="01/04/2027" promptTitle="Start date" xr:uid="{4311C9A4-4192-4A97-9510-832147C38F18}">
          <x14:formula1>
            <xm:f>Info!B3</xm:f>
          </x14:formula1>
          <x14:formula2>
            <xm:f>Info!B4</xm:f>
          </x14:formula2>
          <xm:sqref>C13:D13</xm:sqref>
        </x14:dataValidation>
        <x14:dataValidation type="whole" allowBlank="1" showInputMessage="1" showErrorMessage="1" xr:uid="{23868EAF-38A2-437C-A17B-9C55554862AB}">
          <x14:formula1>
            <xm:f>0</xm:f>
          </x14:formula1>
          <x14:formula2>
            <xm:f>Info!B7</xm:f>
          </x14:formula2>
          <xm:sqref>C14:D14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3A96-B7C4-4665-AEAD-8105E636B40F}">
  <dimension ref="A1:S31"/>
  <sheetViews>
    <sheetView workbookViewId="0">
      <selection activeCell="I20" sqref="A20:I22"/>
    </sheetView>
  </sheetViews>
  <sheetFormatPr defaultColWidth="8.88671875" defaultRowHeight="15.05"/>
  <cols>
    <col min="1" max="1" width="31.44140625" customWidth="1"/>
    <col min="2" max="2" width="2" customWidth="1"/>
    <col min="3" max="3" width="46.44140625" customWidth="1"/>
    <col min="4" max="4" width="20.88671875" customWidth="1"/>
    <col min="5" max="5" width="2" customWidth="1"/>
    <col min="6" max="6" width="57.88671875" customWidth="1"/>
    <col min="7" max="7" width="2" customWidth="1"/>
    <col min="8" max="8" width="17.44140625" customWidth="1"/>
    <col min="9" max="9" width="68.44140625" customWidth="1"/>
    <col min="10" max="11" width="9.109375" customWidth="1"/>
    <col min="12" max="12" width="35.44140625" customWidth="1"/>
    <col min="13" max="13" width="37.44140625" customWidth="1"/>
    <col min="14" max="14" width="23.44140625" customWidth="1"/>
    <col min="15" max="15" width="40.44140625" customWidth="1"/>
    <col min="16" max="16" width="23.44140625" customWidth="1"/>
    <col min="17" max="17" width="9.109375" customWidth="1"/>
  </cols>
  <sheetData>
    <row r="1" spans="1:19">
      <c r="A1" s="201" t="s">
        <v>588</v>
      </c>
      <c r="C1" s="46" t="s">
        <v>724</v>
      </c>
      <c r="D1" s="46" t="s">
        <v>925</v>
      </c>
      <c r="F1" s="46" t="s">
        <v>725</v>
      </c>
      <c r="H1" t="s">
        <v>165</v>
      </c>
      <c r="I1" t="s">
        <v>234</v>
      </c>
      <c r="J1" t="s">
        <v>74</v>
      </c>
      <c r="L1" s="281">
        <v>1</v>
      </c>
      <c r="M1" s="281">
        <v>2</v>
      </c>
      <c r="N1" s="281">
        <v>3</v>
      </c>
      <c r="O1" s="281">
        <v>4</v>
      </c>
      <c r="P1" s="281">
        <v>5</v>
      </c>
      <c r="Q1" s="281">
        <v>6</v>
      </c>
      <c r="R1" s="281">
        <v>4</v>
      </c>
      <c r="S1" s="281">
        <v>8</v>
      </c>
    </row>
    <row r="2" spans="1:19">
      <c r="A2" t="s">
        <v>585</v>
      </c>
      <c r="C2" t="s">
        <v>949</v>
      </c>
      <c r="D2" t="s">
        <v>945</v>
      </c>
      <c r="F2" t="s">
        <v>919</v>
      </c>
      <c r="H2" t="s">
        <v>0</v>
      </c>
      <c r="I2" t="s">
        <v>743</v>
      </c>
      <c r="J2">
        <v>1</v>
      </c>
      <c r="L2" s="282" t="s">
        <v>0</v>
      </c>
      <c r="M2" s="282" t="s">
        <v>674</v>
      </c>
      <c r="N2" s="282" t="s">
        <v>745</v>
      </c>
      <c r="O2" s="282" t="s">
        <v>924</v>
      </c>
      <c r="P2" s="282" t="s">
        <v>918</v>
      </c>
      <c r="Q2" s="282" t="s">
        <v>726</v>
      </c>
      <c r="R2" s="282" t="s">
        <v>727</v>
      </c>
      <c r="S2" s="282" t="s">
        <v>278</v>
      </c>
    </row>
    <row r="3" spans="1:19">
      <c r="A3" s="200" t="s">
        <v>583</v>
      </c>
      <c r="C3" t="s">
        <v>950</v>
      </c>
      <c r="D3" t="s">
        <v>946</v>
      </c>
      <c r="F3" t="s">
        <v>920</v>
      </c>
      <c r="H3" t="s">
        <v>674</v>
      </c>
      <c r="I3" t="s">
        <v>744</v>
      </c>
      <c r="J3">
        <v>2</v>
      </c>
      <c r="L3" s="18" t="s">
        <v>919</v>
      </c>
      <c r="M3" s="18" t="s">
        <v>922</v>
      </c>
      <c r="N3" s="18" t="s">
        <v>781</v>
      </c>
      <c r="O3" s="18" t="s">
        <v>919</v>
      </c>
      <c r="P3" s="18"/>
      <c r="Q3" s="18"/>
      <c r="R3" s="18"/>
      <c r="S3" s="18"/>
    </row>
    <row r="4" spans="1:19">
      <c r="A4" t="s">
        <v>581</v>
      </c>
      <c r="C4" t="s">
        <v>951</v>
      </c>
      <c r="D4" t="s">
        <v>947</v>
      </c>
      <c r="F4" t="s">
        <v>921</v>
      </c>
      <c r="H4" t="s">
        <v>745</v>
      </c>
      <c r="I4" t="s">
        <v>746</v>
      </c>
      <c r="J4">
        <v>3</v>
      </c>
      <c r="L4" s="18" t="s">
        <v>920</v>
      </c>
      <c r="M4" s="18" t="s">
        <v>919</v>
      </c>
      <c r="N4" s="18" t="s">
        <v>782</v>
      </c>
      <c r="O4" s="18" t="s">
        <v>920</v>
      </c>
      <c r="P4" s="18"/>
      <c r="Q4" s="18"/>
      <c r="R4" s="18"/>
      <c r="S4" s="18"/>
    </row>
    <row r="5" spans="1:19">
      <c r="A5" t="s">
        <v>587</v>
      </c>
      <c r="C5" t="s">
        <v>668</v>
      </c>
      <c r="D5" t="s">
        <v>897</v>
      </c>
      <c r="F5" t="s">
        <v>922</v>
      </c>
      <c r="H5" t="s">
        <v>917</v>
      </c>
      <c r="J5">
        <v>3</v>
      </c>
      <c r="L5" s="18" t="s">
        <v>921</v>
      </c>
      <c r="M5" s="18" t="s">
        <v>920</v>
      </c>
      <c r="N5" s="18"/>
      <c r="O5" s="18" t="s">
        <v>921</v>
      </c>
      <c r="P5" s="18"/>
      <c r="Q5" s="18"/>
      <c r="R5" s="18"/>
      <c r="S5" s="18"/>
    </row>
    <row r="6" spans="1:19">
      <c r="A6" t="s">
        <v>584</v>
      </c>
      <c r="C6" t="s">
        <v>670</v>
      </c>
      <c r="D6" t="s">
        <v>948</v>
      </c>
      <c r="F6" t="s">
        <v>923</v>
      </c>
      <c r="H6" t="s">
        <v>918</v>
      </c>
      <c r="J6">
        <v>3</v>
      </c>
      <c r="L6" s="18" t="s">
        <v>922</v>
      </c>
      <c r="M6" s="18" t="s">
        <v>921</v>
      </c>
      <c r="N6" s="18"/>
      <c r="O6" s="18" t="s">
        <v>922</v>
      </c>
      <c r="P6" s="18"/>
      <c r="Q6" s="18"/>
      <c r="R6" s="18"/>
      <c r="S6" s="18"/>
    </row>
    <row r="7" spans="1:19">
      <c r="A7" t="s">
        <v>582</v>
      </c>
      <c r="C7" t="s">
        <v>671</v>
      </c>
      <c r="D7" t="s">
        <v>900</v>
      </c>
      <c r="F7" t="s">
        <v>782</v>
      </c>
      <c r="H7" t="s">
        <v>726</v>
      </c>
      <c r="J7">
        <v>4</v>
      </c>
      <c r="L7" s="18" t="s">
        <v>923</v>
      </c>
      <c r="M7" s="18" t="s">
        <v>782</v>
      </c>
      <c r="N7" s="18"/>
      <c r="O7" s="18" t="s">
        <v>923</v>
      </c>
      <c r="P7" s="18"/>
      <c r="Q7" s="18"/>
      <c r="R7" s="18"/>
      <c r="S7" s="18"/>
    </row>
    <row r="8" spans="1:19">
      <c r="A8" t="s">
        <v>586</v>
      </c>
      <c r="C8" t="s">
        <v>673</v>
      </c>
      <c r="D8" t="s">
        <v>902</v>
      </c>
      <c r="F8" t="s">
        <v>675</v>
      </c>
      <c r="H8" t="s">
        <v>727</v>
      </c>
      <c r="L8" s="18" t="s">
        <v>782</v>
      </c>
      <c r="M8" s="18" t="s">
        <v>675</v>
      </c>
      <c r="N8" s="18"/>
      <c r="O8" s="18" t="s">
        <v>782</v>
      </c>
      <c r="P8" s="18"/>
      <c r="Q8" s="18"/>
      <c r="R8" s="18"/>
      <c r="S8" s="18"/>
    </row>
    <row r="9" spans="1:19">
      <c r="C9" t="s">
        <v>280</v>
      </c>
      <c r="D9" t="s">
        <v>280</v>
      </c>
      <c r="H9" t="s">
        <v>278</v>
      </c>
      <c r="L9" t="s">
        <v>675</v>
      </c>
    </row>
    <row r="10" spans="1:19">
      <c r="L10" s="282" t="s">
        <v>779</v>
      </c>
      <c r="M10" s="282" t="s">
        <v>780</v>
      </c>
    </row>
    <row r="11" spans="1:19">
      <c r="L11" s="282" t="e">
        <f>VLOOKUP('1.G.Data'!C18,Tabela10[],3,FALSE)</f>
        <v>#N/A</v>
      </c>
      <c r="M11" s="282" t="e">
        <f>VLOOKUP('1.G.Data'!C28,Tabela10[],3,FALSE)</f>
        <v>#N/A</v>
      </c>
    </row>
    <row r="12" spans="1:19">
      <c r="L12" s="18" t="e">
        <f>HLOOKUP(L$11,$L$1:$O$6,3,FALSE)</f>
        <v>#N/A</v>
      </c>
      <c r="M12" s="18" t="e">
        <f>HLOOKUP(M$11,$L$1:$O$6,3,FALSE)</f>
        <v>#N/A</v>
      </c>
    </row>
    <row r="13" spans="1:19">
      <c r="L13" s="18" t="e">
        <f>HLOOKUP(L$11,$L$1:$O$6,4,FALSE)</f>
        <v>#N/A</v>
      </c>
      <c r="M13" s="18" t="e">
        <f>HLOOKUP(M$11,$L$1:$O$6,4,FALSE)</f>
        <v>#N/A</v>
      </c>
    </row>
    <row r="14" spans="1:19">
      <c r="L14" s="18" t="e">
        <f>HLOOKUP(L$11,$L$1:$O$6,5,FALSE)</f>
        <v>#N/A</v>
      </c>
      <c r="M14" s="18" t="e">
        <f>HLOOKUP(M$11,$L$1:$O$6,5,FALSE)</f>
        <v>#N/A</v>
      </c>
    </row>
    <row r="15" spans="1:19">
      <c r="L15" s="18" t="e">
        <f>HLOOKUP(L$11,$L$1:$O$6,6,FALSE)</f>
        <v>#N/A</v>
      </c>
      <c r="M15" s="18" t="e">
        <f>HLOOKUP(M$11,$L$1:$O$6,6,FALSE)</f>
        <v>#N/A</v>
      </c>
    </row>
    <row r="17" spans="3:13">
      <c r="M17" s="18" t="s">
        <v>782</v>
      </c>
    </row>
    <row r="18" spans="3:13">
      <c r="C18" s="484" t="s">
        <v>952</v>
      </c>
      <c r="D18" s="484" t="s">
        <v>972</v>
      </c>
      <c r="M18" s="18" t="s">
        <v>675</v>
      </c>
    </row>
    <row r="19" spans="3:13">
      <c r="C19" s="485" t="s">
        <v>960</v>
      </c>
      <c r="D19" s="485" t="s">
        <v>221</v>
      </c>
    </row>
    <row r="20" spans="3:13">
      <c r="C20" s="485" t="s">
        <v>961</v>
      </c>
      <c r="D20" s="485" t="s">
        <v>953</v>
      </c>
    </row>
    <row r="21" spans="3:13">
      <c r="C21" s="485" t="s">
        <v>962</v>
      </c>
      <c r="D21" s="485" t="s">
        <v>954</v>
      </c>
    </row>
    <row r="22" spans="3:13">
      <c r="C22" s="485" t="s">
        <v>963</v>
      </c>
      <c r="D22" s="485" t="s">
        <v>955</v>
      </c>
    </row>
    <row r="23" spans="3:13">
      <c r="C23" s="485" t="s">
        <v>964</v>
      </c>
      <c r="D23" s="485" t="s">
        <v>228</v>
      </c>
    </row>
    <row r="24" spans="3:13">
      <c r="C24" s="485" t="s">
        <v>965</v>
      </c>
      <c r="D24" s="485" t="s">
        <v>956</v>
      </c>
    </row>
    <row r="25" spans="3:13">
      <c r="C25" s="485" t="s">
        <v>966</v>
      </c>
      <c r="D25" s="485" t="s">
        <v>957</v>
      </c>
    </row>
    <row r="26" spans="3:13">
      <c r="C26" s="485" t="s">
        <v>967</v>
      </c>
      <c r="D26" s="485" t="s">
        <v>127</v>
      </c>
    </row>
    <row r="27" spans="3:13">
      <c r="C27" s="485" t="s">
        <v>968</v>
      </c>
      <c r="D27" s="485" t="s">
        <v>227</v>
      </c>
    </row>
    <row r="28" spans="3:13">
      <c r="C28" s="485" t="s">
        <v>969</v>
      </c>
      <c r="D28" s="485" t="s">
        <v>958</v>
      </c>
    </row>
    <row r="29" spans="3:13">
      <c r="C29" s="485" t="s">
        <v>970</v>
      </c>
      <c r="D29" s="485" t="s">
        <v>959</v>
      </c>
    </row>
    <row r="30" spans="3:13">
      <c r="C30" s="485" t="s">
        <v>971</v>
      </c>
      <c r="D30" s="485" t="s">
        <v>224</v>
      </c>
    </row>
    <row r="31" spans="3:13">
      <c r="C31" s="485" t="s">
        <v>280</v>
      </c>
      <c r="D31" s="485" t="s">
        <v>280</v>
      </c>
    </row>
  </sheetData>
  <sheetProtection algorithmName="SHA-512" hashValue="AUisA9+2FeHwTFzYjvN396s7VOzwtTRZbvemAjcKEK/FSeKkINtDYw+2J4tZRMxe+XR3HkJ7DO+Ec015uUFM7A==" saltValue="ioJtH7R5YidHenThLUbyog==" spinCount="100000" sheet="1" objects="1" scenarios="1"/>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0A35-6394-4260-A9AC-6381154F55B5}">
  <sheetPr>
    <tabColor theme="5" tint="-0.249977111117893"/>
  </sheetPr>
  <dimension ref="A1:BH230"/>
  <sheetViews>
    <sheetView zoomScale="90" zoomScaleNormal="90" workbookViewId="0">
      <selection activeCell="B3" sqref="B3:C3"/>
    </sheetView>
  </sheetViews>
  <sheetFormatPr defaultColWidth="8.88671875" defaultRowHeight="15.05"/>
  <cols>
    <col min="1" max="1" width="29.44140625" customWidth="1"/>
    <col min="2" max="5" width="10.44140625" customWidth="1"/>
    <col min="6" max="11" width="15" customWidth="1"/>
    <col min="12" max="12" width="91.44140625" customWidth="1"/>
    <col min="13" max="13" width="76.44140625" style="283" hidden="1" customWidth="1"/>
    <col min="14" max="21" width="4.44140625" hidden="1" customWidth="1"/>
    <col min="22" max="22" width="8.88671875" hidden="1" customWidth="1"/>
    <col min="23" max="25" width="3.109375" hidden="1" customWidth="1"/>
    <col min="26" max="26" width="10" style="122" hidden="1" customWidth="1"/>
    <col min="27" max="27" width="59.88671875" style="122" hidden="1" customWidth="1"/>
    <col min="28" max="28" width="2.44140625" style="122" hidden="1" customWidth="1"/>
    <col min="29" max="29" width="12.88671875" style="122" hidden="1" customWidth="1"/>
    <col min="30" max="30" width="86.44140625" hidden="1" customWidth="1"/>
    <col min="31" max="32" width="8.88671875" style="110" customWidth="1"/>
    <col min="33" max="60" width="8.88671875" style="110"/>
  </cols>
  <sheetData>
    <row r="1" spans="1:60" s="1" customFormat="1" ht="23.4" customHeight="1">
      <c r="A1" s="671" t="s">
        <v>600</v>
      </c>
      <c r="B1" s="671"/>
      <c r="C1" s="671"/>
      <c r="D1" s="671"/>
      <c r="E1" s="671"/>
      <c r="F1" s="671"/>
      <c r="G1" s="671"/>
      <c r="H1" s="671"/>
      <c r="I1" s="671"/>
      <c r="J1" s="671"/>
      <c r="K1" s="671"/>
      <c r="L1" s="250"/>
      <c r="M1" s="283" t="s">
        <v>232</v>
      </c>
      <c r="Z1" s="290" t="s">
        <v>230</v>
      </c>
      <c r="AA1" s="123"/>
      <c r="AB1" s="123"/>
      <c r="AC1" s="682" t="s">
        <v>233</v>
      </c>
      <c r="AD1" s="682"/>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row>
    <row r="2" spans="1:60" s="1" customFormat="1" ht="23.4" customHeight="1">
      <c r="A2" s="658" t="s">
        <v>599</v>
      </c>
      <c r="B2" s="658"/>
      <c r="C2" s="658"/>
      <c r="D2" s="658"/>
      <c r="E2" s="658"/>
      <c r="F2" s="658"/>
      <c r="G2" s="658"/>
      <c r="H2" s="658"/>
      <c r="I2" s="658"/>
      <c r="J2" s="658"/>
      <c r="K2" s="658"/>
      <c r="L2" s="249" t="s">
        <v>333</v>
      </c>
      <c r="M2" s="283" t="s">
        <v>679</v>
      </c>
      <c r="Z2" s="123" t="s">
        <v>221</v>
      </c>
      <c r="AA2" s="123"/>
      <c r="AB2" s="123"/>
      <c r="AC2" s="123" t="s">
        <v>165</v>
      </c>
      <c r="AD2" s="1" t="s">
        <v>234</v>
      </c>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row>
    <row r="3" spans="1:60" s="1" customFormat="1" ht="23.4" customHeight="1">
      <c r="A3" s="2" t="s">
        <v>601</v>
      </c>
      <c r="B3" s="688" t="str">
        <f>IF('1.G.Data'!C7=Info!A15,Info!A16,"")</f>
        <v/>
      </c>
      <c r="C3" s="688"/>
      <c r="D3" s="689" t="str">
        <f>IF(B3="",M2,M3)</f>
        <v>Alert: Required field</v>
      </c>
      <c r="E3" s="689"/>
      <c r="F3" s="689"/>
      <c r="G3" s="689"/>
      <c r="H3" s="689"/>
      <c r="I3" s="689"/>
      <c r="J3" s="689"/>
      <c r="K3" s="689"/>
      <c r="L3" s="109"/>
      <c r="M3" s="283" t="s">
        <v>680</v>
      </c>
      <c r="Z3" s="123" t="s">
        <v>220</v>
      </c>
      <c r="AA3" s="123"/>
      <c r="AB3" s="123"/>
      <c r="AC3" s="123" t="s">
        <v>0</v>
      </c>
      <c r="AD3" s="1" t="s">
        <v>235</v>
      </c>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row>
    <row r="4" spans="1:60" ht="23.4" hidden="1" customHeight="1">
      <c r="A4" s="118" t="s">
        <v>602</v>
      </c>
      <c r="B4" s="688"/>
      <c r="C4" s="688"/>
      <c r="D4" s="688" t="str">
        <f>IF(B4=Z14,"","NA")</f>
        <v>NA</v>
      </c>
      <c r="E4" s="688"/>
      <c r="F4" s="691" t="str">
        <f>IF(B4=Z14,M5,M4)</f>
        <v>Fill in the acronym of the main UI&amp;D (usually the one associated with the PI).</v>
      </c>
      <c r="G4" s="692"/>
      <c r="H4" s="692"/>
      <c r="I4" s="692"/>
      <c r="J4" s="692"/>
      <c r="K4" s="693"/>
      <c r="L4" s="110"/>
      <c r="M4" s="283" t="s">
        <v>681</v>
      </c>
      <c r="N4" s="221"/>
      <c r="O4" s="221"/>
      <c r="P4" s="221"/>
      <c r="Q4" s="221"/>
      <c r="R4" s="222"/>
      <c r="Z4" s="122" t="s">
        <v>226</v>
      </c>
      <c r="AC4" s="123" t="s">
        <v>236</v>
      </c>
      <c r="AD4" s="1" t="s">
        <v>237</v>
      </c>
    </row>
    <row r="5" spans="1:60" ht="23.4" hidden="1" customHeight="1">
      <c r="A5" s="690" t="s">
        <v>603</v>
      </c>
      <c r="B5" s="688"/>
      <c r="C5" s="688"/>
      <c r="D5" s="689" t="s">
        <v>678</v>
      </c>
      <c r="E5" s="689"/>
      <c r="F5" s="689"/>
      <c r="G5" s="689"/>
      <c r="H5" s="689"/>
      <c r="I5" s="689"/>
      <c r="J5" s="689"/>
      <c r="K5" s="689"/>
      <c r="L5" s="110"/>
      <c r="M5" s="283" t="s">
        <v>682</v>
      </c>
      <c r="Z5" s="122" t="s">
        <v>753</v>
      </c>
      <c r="AC5" s="123" t="s">
        <v>1004</v>
      </c>
      <c r="AD5" s="1" t="s">
        <v>1003</v>
      </c>
    </row>
    <row r="6" spans="1:60" ht="23.4" hidden="1" customHeight="1">
      <c r="A6" s="690"/>
      <c r="B6" s="688"/>
      <c r="C6" s="688"/>
      <c r="D6" s="689" t="s">
        <v>678</v>
      </c>
      <c r="E6" s="689"/>
      <c r="F6" s="689"/>
      <c r="G6" s="689"/>
      <c r="H6" s="689"/>
      <c r="I6" s="689"/>
      <c r="J6" s="689"/>
      <c r="K6" s="689"/>
      <c r="L6" s="110"/>
      <c r="M6" s="283" t="s">
        <v>683</v>
      </c>
      <c r="Z6" s="122" t="s">
        <v>228</v>
      </c>
      <c r="AC6" s="123" t="s">
        <v>239</v>
      </c>
      <c r="AD6" s="1" t="s">
        <v>240</v>
      </c>
    </row>
    <row r="7" spans="1:60" s="1" customFormat="1" ht="140.25" customHeight="1">
      <c r="A7" s="118" t="s">
        <v>906</v>
      </c>
      <c r="B7" s="685" t="s">
        <v>848</v>
      </c>
      <c r="C7" s="685"/>
      <c r="D7" s="685"/>
      <c r="E7" s="685"/>
      <c r="F7" s="685"/>
      <c r="G7" s="685"/>
      <c r="H7" s="685"/>
      <c r="I7" s="685"/>
      <c r="J7" s="685"/>
      <c r="K7" s="685"/>
      <c r="L7" s="353"/>
      <c r="M7" s="283" t="s">
        <v>783</v>
      </c>
      <c r="N7"/>
      <c r="O7"/>
      <c r="P7"/>
      <c r="Q7"/>
      <c r="R7"/>
      <c r="S7"/>
      <c r="T7"/>
      <c r="U7"/>
      <c r="V7"/>
      <c r="W7"/>
      <c r="Z7" s="122" t="s">
        <v>222</v>
      </c>
      <c r="AA7" s="123"/>
      <c r="AB7" s="123"/>
      <c r="AC7" s="123" t="s">
        <v>241</v>
      </c>
      <c r="AD7" s="1" t="s">
        <v>242</v>
      </c>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row>
    <row r="8" spans="1:60" ht="29.95" customHeight="1">
      <c r="A8" s="658" t="s">
        <v>910</v>
      </c>
      <c r="B8" s="658"/>
      <c r="C8" s="658"/>
      <c r="D8" s="658"/>
      <c r="E8" s="658"/>
      <c r="F8" s="658"/>
      <c r="G8" s="658"/>
      <c r="H8" s="658"/>
      <c r="I8" s="658"/>
      <c r="J8" s="658"/>
      <c r="K8" s="658"/>
      <c r="L8" s="231" t="str">
        <f>IF(B9="","",M11)</f>
        <v/>
      </c>
      <c r="M8" s="283" t="s">
        <v>684</v>
      </c>
      <c r="N8" s="1"/>
      <c r="O8" s="1"/>
      <c r="P8" s="1"/>
      <c r="Q8" s="1"/>
      <c r="R8" s="1"/>
      <c r="S8" s="1"/>
      <c r="T8" s="1"/>
      <c r="U8" s="1"/>
      <c r="V8" s="1"/>
      <c r="W8" s="1"/>
      <c r="Z8" s="122" t="s">
        <v>223</v>
      </c>
      <c r="AC8" s="123" t="s">
        <v>1001</v>
      </c>
      <c r="AD8" s="1" t="s">
        <v>1002</v>
      </c>
    </row>
    <row r="9" spans="1:60" ht="17.2" customHeight="1">
      <c r="A9" s="694" t="s">
        <v>604</v>
      </c>
      <c r="B9" s="679"/>
      <c r="C9" s="679"/>
      <c r="D9" s="679" t="str">
        <f>IF(B9=$AC$27,"","NA")</f>
        <v>NA</v>
      </c>
      <c r="E9" s="679"/>
      <c r="F9" s="683" t="str">
        <f>IF(D9="",$M$8,IF(D9="FCUL",$M$6,""))</f>
        <v/>
      </c>
      <c r="G9" s="683"/>
      <c r="H9" s="683"/>
      <c r="I9" s="683"/>
      <c r="J9" s="683"/>
      <c r="K9" s="684"/>
      <c r="L9" s="352"/>
      <c r="M9" s="283" t="s">
        <v>852</v>
      </c>
      <c r="Z9" s="122" t="s">
        <v>127</v>
      </c>
      <c r="AC9" s="123" t="s">
        <v>243</v>
      </c>
      <c r="AD9" s="1" t="s">
        <v>244</v>
      </c>
    </row>
    <row r="10" spans="1:60" ht="67.599999999999994" customHeight="1">
      <c r="A10" s="694"/>
      <c r="B10" s="680" t="s">
        <v>613</v>
      </c>
      <c r="C10" s="680"/>
      <c r="D10" s="681" t="str">
        <f>IF(B9="","NA",IF(B9="Other","","Portugal"))</f>
        <v>NA</v>
      </c>
      <c r="E10" s="681"/>
      <c r="F10" s="686"/>
      <c r="G10" s="686"/>
      <c r="H10" s="686"/>
      <c r="I10" s="686"/>
      <c r="J10" s="686"/>
      <c r="K10" s="687"/>
      <c r="L10" s="231" t="str">
        <f>IF(B9="","",M7)</f>
        <v/>
      </c>
      <c r="M10" s="283" t="s">
        <v>784</v>
      </c>
      <c r="Z10" s="122" t="s">
        <v>227</v>
      </c>
      <c r="AC10" s="123" t="s">
        <v>247</v>
      </c>
      <c r="AD10" s="1" t="s">
        <v>248</v>
      </c>
    </row>
    <row r="11" spans="1:60" ht="17.2" customHeight="1">
      <c r="A11" s="694" t="s">
        <v>605</v>
      </c>
      <c r="B11" s="679"/>
      <c r="C11" s="679"/>
      <c r="D11" s="679" t="str">
        <f>IF(B11=$AC$27,"","NA")</f>
        <v>NA</v>
      </c>
      <c r="E11" s="679"/>
      <c r="F11" s="683" t="str">
        <f>IF(D11="",$M$8,IF(D11="FCUL",$M$6,""))</f>
        <v/>
      </c>
      <c r="G11" s="683"/>
      <c r="H11" s="683"/>
      <c r="I11" s="683"/>
      <c r="J11" s="683"/>
      <c r="K11" s="684"/>
      <c r="L11" s="231" t="str">
        <f>IF(B9="","",M9)</f>
        <v/>
      </c>
      <c r="M11" s="283" t="s">
        <v>785</v>
      </c>
      <c r="Z11" s="122" t="s">
        <v>229</v>
      </c>
      <c r="AC11" s="123" t="s">
        <v>249</v>
      </c>
      <c r="AD11" s="1" t="s">
        <v>250</v>
      </c>
    </row>
    <row r="12" spans="1:60" ht="67.599999999999994" customHeight="1">
      <c r="A12" s="694"/>
      <c r="B12" s="680" t="s">
        <v>613</v>
      </c>
      <c r="C12" s="680"/>
      <c r="D12" s="681" t="str">
        <f>IF(B11="","NA",IF(B11="Other","","Portugal"))</f>
        <v>NA</v>
      </c>
      <c r="E12" s="681"/>
      <c r="F12" s="686"/>
      <c r="G12" s="686"/>
      <c r="H12" s="686"/>
      <c r="I12" s="686"/>
      <c r="J12" s="686"/>
      <c r="K12" s="687"/>
      <c r="L12" s="231" t="str">
        <f>IF(B9="","",M10)</f>
        <v/>
      </c>
      <c r="M12" s="284"/>
      <c r="N12" s="110"/>
      <c r="O12" s="110"/>
      <c r="P12" s="110"/>
      <c r="Q12" s="110"/>
      <c r="R12" s="110"/>
      <c r="S12" s="110"/>
      <c r="T12" s="110"/>
      <c r="U12" s="110"/>
      <c r="V12" s="110"/>
      <c r="W12" s="110"/>
      <c r="X12" s="110"/>
      <c r="Y12" s="110"/>
      <c r="Z12" s="223" t="s">
        <v>225</v>
      </c>
      <c r="AA12" s="120"/>
      <c r="AB12" s="120"/>
      <c r="AC12" s="223" t="s">
        <v>1007</v>
      </c>
      <c r="AD12" s="109" t="s">
        <v>1008</v>
      </c>
    </row>
    <row r="13" spans="1:60" ht="17.2" customHeight="1">
      <c r="A13" s="694" t="s">
        <v>606</v>
      </c>
      <c r="B13" s="679"/>
      <c r="C13" s="679"/>
      <c r="D13" s="679" t="str">
        <f>IF(B13=$AC$27,"","NA")</f>
        <v>NA</v>
      </c>
      <c r="E13" s="679"/>
      <c r="F13" s="683" t="str">
        <f>IF(D13="",$M$8,IF(D13="FCUL",$M$6,""))</f>
        <v/>
      </c>
      <c r="G13" s="683"/>
      <c r="H13" s="683"/>
      <c r="I13" s="683"/>
      <c r="J13" s="683"/>
      <c r="K13" s="684"/>
      <c r="L13" s="110"/>
      <c r="M13" s="284"/>
      <c r="N13" s="110"/>
      <c r="O13" s="110"/>
      <c r="P13" s="110"/>
      <c r="Q13" s="110"/>
      <c r="R13" s="110"/>
      <c r="S13" s="110"/>
      <c r="T13" s="110"/>
      <c r="U13" s="110"/>
      <c r="V13" s="110"/>
      <c r="W13" s="110"/>
      <c r="X13" s="110"/>
      <c r="Y13" s="110"/>
      <c r="Z13" s="120" t="s">
        <v>224</v>
      </c>
      <c r="AA13" s="120"/>
      <c r="AB13" s="120"/>
      <c r="AC13" s="223" t="s">
        <v>108</v>
      </c>
      <c r="AD13" s="109" t="s">
        <v>251</v>
      </c>
    </row>
    <row r="14" spans="1:60" ht="67.599999999999994" customHeight="1">
      <c r="A14" s="694"/>
      <c r="B14" s="680" t="s">
        <v>613</v>
      </c>
      <c r="C14" s="680"/>
      <c r="D14" s="681" t="str">
        <f>IF(B13="","NA",IF(B13="Other","","Portugal"))</f>
        <v>NA</v>
      </c>
      <c r="E14" s="681"/>
      <c r="F14" s="686"/>
      <c r="G14" s="686"/>
      <c r="H14" s="686"/>
      <c r="I14" s="686"/>
      <c r="J14" s="686"/>
      <c r="K14" s="687"/>
      <c r="L14" s="231"/>
      <c r="M14" s="284"/>
      <c r="N14" s="110"/>
      <c r="O14" s="110"/>
      <c r="P14" s="110"/>
      <c r="Q14" s="110"/>
      <c r="R14" s="110"/>
      <c r="S14" s="110"/>
      <c r="T14" s="110"/>
      <c r="U14" s="110"/>
      <c r="V14" s="110"/>
      <c r="W14" s="110"/>
      <c r="X14" s="110"/>
      <c r="Y14" s="110"/>
      <c r="Z14" s="120" t="s">
        <v>231</v>
      </c>
      <c r="AA14" s="120"/>
      <c r="AB14" s="120"/>
      <c r="AC14" s="223" t="s">
        <v>252</v>
      </c>
      <c r="AD14" s="109" t="s">
        <v>253</v>
      </c>
    </row>
    <row r="15" spans="1:60" ht="17.2" customHeight="1">
      <c r="A15" s="694" t="s">
        <v>607</v>
      </c>
      <c r="B15" s="679"/>
      <c r="C15" s="679"/>
      <c r="D15" s="679" t="str">
        <f>IF(B15=$AC$27,"","NA")</f>
        <v>NA</v>
      </c>
      <c r="E15" s="679"/>
      <c r="F15" s="683" t="str">
        <f>IF(D15="",$M$8,IF(D15="FCUL",$M$6,""))</f>
        <v/>
      </c>
      <c r="G15" s="683"/>
      <c r="H15" s="683"/>
      <c r="I15" s="683"/>
      <c r="J15" s="683"/>
      <c r="K15" s="684"/>
      <c r="L15" s="110"/>
      <c r="M15" s="284"/>
      <c r="N15" s="110"/>
      <c r="O15" s="110"/>
      <c r="P15" s="110"/>
      <c r="Q15" s="110"/>
      <c r="R15" s="110"/>
      <c r="S15" s="110"/>
      <c r="T15" s="110"/>
      <c r="U15" s="110"/>
      <c r="V15" s="110"/>
      <c r="W15" s="110"/>
      <c r="X15" s="110"/>
      <c r="Y15" s="110"/>
      <c r="Z15" s="120"/>
      <c r="AA15" s="120"/>
      <c r="AB15" s="120"/>
      <c r="AC15" s="223" t="s">
        <v>254</v>
      </c>
      <c r="AD15" s="109" t="s">
        <v>255</v>
      </c>
    </row>
    <row r="16" spans="1:60" ht="67.599999999999994" customHeight="1">
      <c r="A16" s="694"/>
      <c r="B16" s="680" t="s">
        <v>613</v>
      </c>
      <c r="C16" s="680"/>
      <c r="D16" s="681" t="str">
        <f>IF(B15="","NA",IF(B15="Other","","Portugal"))</f>
        <v>NA</v>
      </c>
      <c r="E16" s="681"/>
      <c r="F16" s="686"/>
      <c r="G16" s="686"/>
      <c r="H16" s="686"/>
      <c r="I16" s="686"/>
      <c r="J16" s="686"/>
      <c r="K16" s="687"/>
      <c r="L16" s="110"/>
      <c r="M16" s="284"/>
      <c r="N16" s="110"/>
      <c r="O16" s="110"/>
      <c r="P16" s="110"/>
      <c r="Q16" s="110"/>
      <c r="R16" s="110"/>
      <c r="S16" s="110"/>
      <c r="T16" s="110"/>
      <c r="U16" s="110"/>
      <c r="V16" s="110"/>
      <c r="W16" s="110"/>
      <c r="X16" s="110"/>
      <c r="Y16" s="110"/>
      <c r="Z16" s="120"/>
      <c r="AA16" s="120"/>
      <c r="AB16" s="120"/>
      <c r="AC16" s="223" t="s">
        <v>256</v>
      </c>
      <c r="AD16" s="109" t="s">
        <v>257</v>
      </c>
    </row>
    <row r="17" spans="1:30" ht="17.2" customHeight="1">
      <c r="A17" s="694" t="s">
        <v>608</v>
      </c>
      <c r="B17" s="679"/>
      <c r="C17" s="679"/>
      <c r="D17" s="679" t="str">
        <f>IF(B17=$AC$27,"","NA")</f>
        <v>NA</v>
      </c>
      <c r="E17" s="679"/>
      <c r="F17" s="683" t="str">
        <f>IF(D17="",$M$8,IF(D17="FCUL",$M$6,""))</f>
        <v/>
      </c>
      <c r="G17" s="683"/>
      <c r="H17" s="683"/>
      <c r="I17" s="683"/>
      <c r="J17" s="683"/>
      <c r="K17" s="684"/>
      <c r="L17" s="110"/>
      <c r="M17" s="284"/>
      <c r="N17" s="110"/>
      <c r="O17" s="110"/>
      <c r="P17" s="110"/>
      <c r="Q17" s="110"/>
      <c r="R17" s="110"/>
      <c r="S17" s="110"/>
      <c r="T17" s="110"/>
      <c r="U17" s="110"/>
      <c r="V17" s="110"/>
      <c r="W17" s="110"/>
      <c r="X17" s="110"/>
      <c r="Y17" s="110"/>
      <c r="Z17" s="120"/>
      <c r="AA17" s="120"/>
      <c r="AB17" s="120"/>
      <c r="AC17" s="223" t="s">
        <v>258</v>
      </c>
      <c r="AD17" s="109" t="s">
        <v>259</v>
      </c>
    </row>
    <row r="18" spans="1:30" ht="67.599999999999994" customHeight="1">
      <c r="A18" s="694"/>
      <c r="B18" s="680" t="s">
        <v>613</v>
      </c>
      <c r="C18" s="680"/>
      <c r="D18" s="681" t="str">
        <f>IF(B17="","NA",IF(B17="Other","","Portugal"))</f>
        <v>NA</v>
      </c>
      <c r="E18" s="681"/>
      <c r="F18" s="686"/>
      <c r="G18" s="686"/>
      <c r="H18" s="686"/>
      <c r="I18" s="686"/>
      <c r="J18" s="686"/>
      <c r="K18" s="687"/>
      <c r="L18" s="110"/>
      <c r="M18" s="284"/>
      <c r="N18" s="110"/>
      <c r="O18" s="110"/>
      <c r="P18" s="110"/>
      <c r="Q18" s="110"/>
      <c r="R18" s="110"/>
      <c r="S18" s="110"/>
      <c r="T18" s="110"/>
      <c r="U18" s="110"/>
      <c r="V18" s="110"/>
      <c r="W18" s="110"/>
      <c r="X18" s="110"/>
      <c r="Y18" s="110"/>
      <c r="Z18" s="120"/>
      <c r="AA18" s="120"/>
      <c r="AB18" s="120"/>
      <c r="AC18" s="223" t="s">
        <v>260</v>
      </c>
      <c r="AD18" s="109" t="s">
        <v>261</v>
      </c>
    </row>
    <row r="19" spans="1:30" ht="17.2" customHeight="1">
      <c r="A19" s="694" t="s">
        <v>609</v>
      </c>
      <c r="B19" s="679"/>
      <c r="C19" s="679"/>
      <c r="D19" s="679" t="str">
        <f>IF(B19=$AC$27,"","NA")</f>
        <v>NA</v>
      </c>
      <c r="E19" s="679"/>
      <c r="F19" s="683" t="str">
        <f>IF(D19="",$M$8,IF(D19="FCUL",$M$6,""))</f>
        <v/>
      </c>
      <c r="G19" s="683"/>
      <c r="H19" s="683"/>
      <c r="I19" s="683"/>
      <c r="J19" s="683"/>
      <c r="K19" s="684"/>
      <c r="L19" s="110"/>
      <c r="M19" s="284"/>
      <c r="N19" s="110"/>
      <c r="O19" s="110"/>
      <c r="P19" s="110"/>
      <c r="Q19" s="110"/>
      <c r="R19" s="110"/>
      <c r="S19" s="110"/>
      <c r="T19" s="110"/>
      <c r="U19" s="110"/>
      <c r="V19" s="110"/>
      <c r="W19" s="110"/>
      <c r="X19" s="110"/>
      <c r="Y19" s="110"/>
      <c r="Z19" s="120"/>
      <c r="AA19" s="120"/>
      <c r="AB19" s="120"/>
      <c r="AC19" s="223" t="s">
        <v>262</v>
      </c>
      <c r="AD19" s="109" t="s">
        <v>263</v>
      </c>
    </row>
    <row r="20" spans="1:30" ht="67.599999999999994" customHeight="1">
      <c r="A20" s="694"/>
      <c r="B20" s="680" t="s">
        <v>613</v>
      </c>
      <c r="C20" s="680"/>
      <c r="D20" s="681" t="str">
        <f>IF(B19="","NA",IF(B19="Other","","Portugal"))</f>
        <v>NA</v>
      </c>
      <c r="E20" s="681"/>
      <c r="F20" s="686"/>
      <c r="G20" s="686"/>
      <c r="H20" s="686"/>
      <c r="I20" s="686"/>
      <c r="J20" s="686"/>
      <c r="K20" s="687"/>
      <c r="L20" s="110"/>
      <c r="M20" s="284"/>
      <c r="N20" s="110"/>
      <c r="O20" s="110"/>
      <c r="P20" s="110"/>
      <c r="Q20" s="110"/>
      <c r="R20" s="110"/>
      <c r="S20" s="110"/>
      <c r="T20" s="110"/>
      <c r="U20" s="110"/>
      <c r="V20" s="110"/>
      <c r="W20" s="110"/>
      <c r="X20" s="110"/>
      <c r="Y20" s="110"/>
      <c r="Z20" s="120"/>
      <c r="AA20" s="120"/>
      <c r="AB20" s="120"/>
      <c r="AC20" s="223" t="s">
        <v>264</v>
      </c>
      <c r="AD20" s="109" t="s">
        <v>265</v>
      </c>
    </row>
    <row r="21" spans="1:30" ht="17.2" customHeight="1">
      <c r="A21" s="694" t="s">
        <v>711</v>
      </c>
      <c r="B21" s="679"/>
      <c r="C21" s="679"/>
      <c r="D21" s="679" t="str">
        <f>IF(B21=$AC$27,"","NA")</f>
        <v>NA</v>
      </c>
      <c r="E21" s="679"/>
      <c r="F21" s="683" t="str">
        <f>IF(D21="",$M$8,IF(D21="FCUL",$M$6,""))</f>
        <v/>
      </c>
      <c r="G21" s="683"/>
      <c r="H21" s="683"/>
      <c r="I21" s="683"/>
      <c r="J21" s="683"/>
      <c r="K21" s="684"/>
      <c r="L21" s="110"/>
      <c r="M21" s="284"/>
      <c r="N21" s="110"/>
      <c r="O21" s="110"/>
      <c r="P21" s="110"/>
      <c r="Q21" s="110"/>
      <c r="R21" s="110"/>
      <c r="S21" s="110"/>
      <c r="T21" s="110"/>
      <c r="U21" s="110"/>
      <c r="V21" s="110"/>
      <c r="W21" s="110"/>
      <c r="X21" s="110"/>
      <c r="Y21" s="110"/>
      <c r="Z21" s="120"/>
      <c r="AA21" s="120"/>
      <c r="AB21" s="120"/>
      <c r="AC21" s="223" t="s">
        <v>266</v>
      </c>
      <c r="AD21" s="109" t="s">
        <v>267</v>
      </c>
    </row>
    <row r="22" spans="1:30" ht="67.599999999999994" customHeight="1">
      <c r="A22" s="694"/>
      <c r="B22" s="680" t="s">
        <v>613</v>
      </c>
      <c r="C22" s="680"/>
      <c r="D22" s="681" t="str">
        <f>IF(B21="","NA",IF(B21="Other","","Portugal"))</f>
        <v>NA</v>
      </c>
      <c r="E22" s="681"/>
      <c r="F22" s="686"/>
      <c r="G22" s="686"/>
      <c r="H22" s="686"/>
      <c r="I22" s="686"/>
      <c r="J22" s="686"/>
      <c r="K22" s="687"/>
      <c r="L22" s="110"/>
      <c r="M22" s="284"/>
      <c r="N22" s="110"/>
      <c r="O22" s="110"/>
      <c r="P22" s="110"/>
      <c r="Q22" s="110"/>
      <c r="R22" s="110"/>
      <c r="S22" s="110"/>
      <c r="T22" s="110"/>
      <c r="U22" s="110"/>
      <c r="V22" s="110"/>
      <c r="W22" s="110"/>
      <c r="X22" s="110"/>
      <c r="Y22" s="110"/>
      <c r="Z22" s="120"/>
      <c r="AA22" s="120"/>
      <c r="AB22" s="120"/>
      <c r="AC22" s="223" t="s">
        <v>268</v>
      </c>
      <c r="AD22" s="109" t="s">
        <v>269</v>
      </c>
    </row>
    <row r="23" spans="1:30" ht="17.2" customHeight="1">
      <c r="A23" s="694" t="s">
        <v>610</v>
      </c>
      <c r="B23" s="679"/>
      <c r="C23" s="679"/>
      <c r="D23" s="679" t="str">
        <f>IF(B23=$AC$27,"","NA")</f>
        <v>NA</v>
      </c>
      <c r="E23" s="679"/>
      <c r="F23" s="683" t="str">
        <f>IF(D23="",$M$8,IF(D23="FCUL",$M$6,""))</f>
        <v/>
      </c>
      <c r="G23" s="683"/>
      <c r="H23" s="683"/>
      <c r="I23" s="683"/>
      <c r="J23" s="683"/>
      <c r="K23" s="684"/>
      <c r="L23" s="110"/>
      <c r="M23" s="284"/>
      <c r="N23" s="110"/>
      <c r="O23" s="110"/>
      <c r="P23" s="110"/>
      <c r="Q23" s="110"/>
      <c r="R23" s="110"/>
      <c r="S23" s="110"/>
      <c r="T23" s="110"/>
      <c r="U23" s="110"/>
      <c r="V23" s="110"/>
      <c r="W23" s="110"/>
      <c r="X23" s="110"/>
      <c r="Y23" s="110"/>
      <c r="Z23" s="120"/>
      <c r="AA23" s="120"/>
      <c r="AB23" s="120"/>
      <c r="AC23" s="223" t="s">
        <v>270</v>
      </c>
      <c r="AD23" s="109" t="s">
        <v>271</v>
      </c>
    </row>
    <row r="24" spans="1:30" ht="67.599999999999994" customHeight="1">
      <c r="A24" s="694"/>
      <c r="B24" s="680" t="s">
        <v>613</v>
      </c>
      <c r="C24" s="680"/>
      <c r="D24" s="681" t="str">
        <f>IF(B23="","NA",IF(B23="Other","","Portugal"))</f>
        <v>NA</v>
      </c>
      <c r="E24" s="681"/>
      <c r="F24" s="686"/>
      <c r="G24" s="686"/>
      <c r="H24" s="686"/>
      <c r="I24" s="686"/>
      <c r="J24" s="686"/>
      <c r="K24" s="687"/>
      <c r="L24" s="110"/>
      <c r="M24" s="284"/>
      <c r="N24" s="110"/>
      <c r="O24" s="110"/>
      <c r="P24" s="110"/>
      <c r="Q24" s="110"/>
      <c r="R24" s="110"/>
      <c r="S24" s="110"/>
      <c r="T24" s="110"/>
      <c r="U24" s="110"/>
      <c r="V24" s="110"/>
      <c r="W24" s="110"/>
      <c r="X24" s="110"/>
      <c r="Y24" s="110"/>
      <c r="Z24" s="120"/>
      <c r="AA24" s="120"/>
      <c r="AB24" s="120"/>
      <c r="AC24" s="223" t="s">
        <v>272</v>
      </c>
      <c r="AD24" s="109" t="s">
        <v>273</v>
      </c>
    </row>
    <row r="25" spans="1:30" ht="17.2" customHeight="1">
      <c r="A25" s="694" t="s">
        <v>611</v>
      </c>
      <c r="B25" s="679"/>
      <c r="C25" s="679"/>
      <c r="D25" s="679" t="str">
        <f>IF(B25=$AC$27,"","NA")</f>
        <v>NA</v>
      </c>
      <c r="E25" s="679"/>
      <c r="F25" s="683" t="str">
        <f>IF(D25="",$M$8,IF(D25="FCUL",$M$6,""))</f>
        <v/>
      </c>
      <c r="G25" s="683"/>
      <c r="H25" s="683"/>
      <c r="I25" s="683"/>
      <c r="J25" s="683"/>
      <c r="K25" s="684"/>
      <c r="L25" s="110"/>
      <c r="M25" s="284"/>
      <c r="N25" s="110"/>
      <c r="O25" s="110"/>
      <c r="P25" s="110"/>
      <c r="Q25" s="110"/>
      <c r="R25" s="110"/>
      <c r="S25" s="110"/>
      <c r="T25" s="110"/>
      <c r="U25" s="110"/>
      <c r="V25" s="110"/>
      <c r="W25" s="110"/>
      <c r="X25" s="110"/>
      <c r="Y25" s="110"/>
      <c r="Z25" s="120"/>
      <c r="AA25" s="120"/>
      <c r="AB25" s="120"/>
      <c r="AC25" s="223" t="s">
        <v>274</v>
      </c>
      <c r="AD25" s="109" t="s">
        <v>275</v>
      </c>
    </row>
    <row r="26" spans="1:30" ht="67.599999999999994" customHeight="1">
      <c r="A26" s="694"/>
      <c r="B26" s="680" t="s">
        <v>613</v>
      </c>
      <c r="C26" s="680"/>
      <c r="D26" s="681" t="str">
        <f>IF(B25="","NA",IF(B25="Other","","Portugal"))</f>
        <v>NA</v>
      </c>
      <c r="E26" s="681"/>
      <c r="F26" s="686"/>
      <c r="G26" s="686"/>
      <c r="H26" s="686"/>
      <c r="I26" s="686"/>
      <c r="J26" s="686"/>
      <c r="K26" s="687"/>
      <c r="L26" s="110"/>
      <c r="M26" s="284"/>
      <c r="N26" s="110"/>
      <c r="O26" s="110"/>
      <c r="P26" s="110"/>
      <c r="Q26" s="110"/>
      <c r="R26" s="110"/>
      <c r="S26" s="110"/>
      <c r="T26" s="110"/>
      <c r="U26" s="110"/>
      <c r="V26" s="110"/>
      <c r="W26" s="110"/>
      <c r="X26" s="110"/>
      <c r="Y26" s="110"/>
      <c r="Z26" s="120"/>
      <c r="AA26" s="120"/>
      <c r="AB26" s="120"/>
      <c r="AC26" s="223" t="s">
        <v>276</v>
      </c>
      <c r="AD26" s="109" t="s">
        <v>277</v>
      </c>
    </row>
    <row r="27" spans="1:30" ht="17.2" customHeight="1">
      <c r="A27" s="694" t="s">
        <v>612</v>
      </c>
      <c r="B27" s="679"/>
      <c r="C27" s="679"/>
      <c r="D27" s="679" t="str">
        <f>IF(B27=$AC$27,"","NA")</f>
        <v>NA</v>
      </c>
      <c r="E27" s="679"/>
      <c r="F27" s="683" t="str">
        <f>IF(D27="",$M$8,IF(D27="FCUL",$M$6,""))</f>
        <v/>
      </c>
      <c r="G27" s="683"/>
      <c r="H27" s="683"/>
      <c r="I27" s="683"/>
      <c r="J27" s="683"/>
      <c r="K27" s="684"/>
      <c r="L27" s="110"/>
      <c r="M27" s="284"/>
      <c r="N27" s="110"/>
      <c r="O27" s="110"/>
      <c r="P27" s="110"/>
      <c r="Q27" s="110"/>
      <c r="R27" s="110"/>
      <c r="S27" s="110"/>
      <c r="T27" s="110"/>
      <c r="U27" s="110"/>
      <c r="V27" s="110"/>
      <c r="W27" s="110"/>
      <c r="X27" s="110"/>
      <c r="Y27" s="110"/>
      <c r="Z27" s="120"/>
      <c r="AA27" s="120"/>
      <c r="AB27" s="120"/>
      <c r="AC27" s="223" t="s">
        <v>278</v>
      </c>
      <c r="AD27" s="109" t="s">
        <v>279</v>
      </c>
    </row>
    <row r="28" spans="1:30" ht="67.599999999999994" customHeight="1">
      <c r="A28" s="694"/>
      <c r="B28" s="680" t="s">
        <v>613</v>
      </c>
      <c r="C28" s="680"/>
      <c r="D28" s="681" t="str">
        <f>IF(B27="","NA",IF(B27="Other","","Portugal"))</f>
        <v>NA</v>
      </c>
      <c r="E28" s="681"/>
      <c r="F28" s="686"/>
      <c r="G28" s="686"/>
      <c r="H28" s="686"/>
      <c r="I28" s="686"/>
      <c r="J28" s="686"/>
      <c r="K28" s="687"/>
      <c r="L28" s="110"/>
      <c r="M28" s="284"/>
      <c r="N28" s="110"/>
      <c r="O28" s="110"/>
      <c r="P28" s="110"/>
      <c r="Q28" s="110"/>
      <c r="R28" s="110"/>
      <c r="S28" s="110"/>
      <c r="T28" s="110"/>
      <c r="U28" s="110"/>
      <c r="V28" s="110"/>
      <c r="W28" s="110"/>
      <c r="X28" s="110"/>
      <c r="Y28" s="110"/>
      <c r="Z28" s="120"/>
      <c r="AA28" s="120"/>
      <c r="AB28" s="120"/>
      <c r="AC28" s="223" t="s">
        <v>280</v>
      </c>
      <c r="AD28" s="109"/>
    </row>
    <row r="29" spans="1:30" ht="27" hidden="1" customHeight="1">
      <c r="A29" s="291" t="s">
        <v>97</v>
      </c>
      <c r="L29" s="110"/>
      <c r="M29" s="284"/>
      <c r="N29" s="110"/>
      <c r="O29" s="110"/>
      <c r="P29" s="110"/>
      <c r="Q29" s="110"/>
      <c r="R29" s="110"/>
      <c r="S29" s="110"/>
      <c r="T29" s="110"/>
      <c r="U29" s="110"/>
      <c r="V29" s="110"/>
      <c r="W29" s="110"/>
      <c r="X29" s="110"/>
      <c r="Y29" s="110"/>
      <c r="Z29" s="120"/>
      <c r="AA29" s="120"/>
      <c r="AB29" s="120"/>
      <c r="AC29" s="223"/>
      <c r="AD29" s="109"/>
    </row>
    <row r="30" spans="1:30" ht="15.75" hidden="1" thickBot="1">
      <c r="A30" s="53"/>
      <c r="B30" s="53">
        <v>2</v>
      </c>
      <c r="C30" s="53">
        <v>3</v>
      </c>
      <c r="D30" s="53">
        <v>4</v>
      </c>
      <c r="E30" s="53">
        <v>5</v>
      </c>
      <c r="F30" s="53">
        <v>6</v>
      </c>
      <c r="G30" s="53">
        <v>7</v>
      </c>
      <c r="H30" s="53">
        <v>8</v>
      </c>
      <c r="I30" s="53">
        <v>9</v>
      </c>
      <c r="J30" s="53">
        <v>10</v>
      </c>
      <c r="K30" s="53">
        <v>11</v>
      </c>
      <c r="L30" s="232">
        <v>12</v>
      </c>
      <c r="M30" s="285">
        <v>13</v>
      </c>
      <c r="N30" s="110">
        <v>14</v>
      </c>
      <c r="O30" s="110">
        <v>15</v>
      </c>
      <c r="P30" s="110">
        <v>16</v>
      </c>
      <c r="Q30" s="110">
        <v>17</v>
      </c>
      <c r="R30" s="110">
        <v>18</v>
      </c>
      <c r="S30" s="110">
        <v>19</v>
      </c>
      <c r="T30" s="110">
        <v>20</v>
      </c>
      <c r="U30" s="110">
        <v>21</v>
      </c>
      <c r="V30" s="110"/>
      <c r="W30" s="110"/>
      <c r="X30" s="110"/>
      <c r="Y30" s="110"/>
      <c r="Z30" s="120"/>
      <c r="AA30" s="120"/>
      <c r="AB30" s="120"/>
      <c r="AC30" s="486"/>
      <c r="AD30" s="487"/>
    </row>
    <row r="31" spans="1:30" ht="15.75" hidden="1" thickBot="1">
      <c r="A31" s="54" t="s">
        <v>98</v>
      </c>
      <c r="B31" s="55" t="s">
        <v>18</v>
      </c>
      <c r="C31" s="56" t="s">
        <v>19</v>
      </c>
      <c r="D31" s="56" t="s">
        <v>20</v>
      </c>
      <c r="E31" s="56" t="s">
        <v>21</v>
      </c>
      <c r="F31" s="56" t="s">
        <v>22</v>
      </c>
      <c r="G31" s="56" t="s">
        <v>23</v>
      </c>
      <c r="H31" s="56" t="s">
        <v>24</v>
      </c>
      <c r="I31" s="56" t="s">
        <v>25</v>
      </c>
      <c r="J31" s="56" t="s">
        <v>26</v>
      </c>
      <c r="K31" s="56" t="s">
        <v>27</v>
      </c>
      <c r="L31" s="233" t="s">
        <v>28</v>
      </c>
      <c r="M31" s="286" t="s">
        <v>29</v>
      </c>
      <c r="N31" s="234" t="s">
        <v>30</v>
      </c>
      <c r="O31" s="234" t="s">
        <v>31</v>
      </c>
      <c r="P31" s="234" t="s">
        <v>32</v>
      </c>
      <c r="Q31" s="234" t="s">
        <v>33</v>
      </c>
      <c r="R31" s="234" t="s">
        <v>34</v>
      </c>
      <c r="S31" s="234" t="s">
        <v>35</v>
      </c>
      <c r="T31" s="234" t="s">
        <v>36</v>
      </c>
      <c r="U31" s="235" t="s">
        <v>37</v>
      </c>
      <c r="V31" s="110"/>
      <c r="W31" s="110"/>
      <c r="X31" s="110"/>
      <c r="Y31" s="110"/>
      <c r="Z31" s="120"/>
      <c r="AA31" s="120"/>
      <c r="AB31" s="120"/>
      <c r="AC31" s="486"/>
      <c r="AD31" s="487"/>
    </row>
    <row r="32" spans="1:30" hidden="1">
      <c r="A32" s="57" t="str">
        <f>+B3</f>
        <v/>
      </c>
      <c r="B32" s="58">
        <f>SUMIF('4.Team'!$E$4:$E$18,'2.Inst.'!$A32,'4.Team'!BF$4:BF$18)</f>
        <v>0</v>
      </c>
      <c r="C32" s="59">
        <f>SUMIF('4.Team'!$E$4:$E$18,'2.Inst.'!$A32,'4.Team'!BG$4:BG$18)</f>
        <v>0</v>
      </c>
      <c r="D32" s="59">
        <f>SUMIF('4.Team'!$E$4:$E$18,'2.Inst.'!$A32,'4.Team'!BH$4:BH$18)</f>
        <v>0</v>
      </c>
      <c r="E32" s="59">
        <f>SUMIF('4.Team'!$E$4:$E$18,'2.Inst.'!$A32,'4.Team'!BI$4:BI$18)</f>
        <v>0</v>
      </c>
      <c r="F32" s="59">
        <f>SUMIF('4.Team'!$E$4:$E$18,'2.Inst.'!$A32,'4.Team'!BJ$4:BJ$18)</f>
        <v>0</v>
      </c>
      <c r="G32" s="59">
        <f>SUMIF('4.Team'!$E$4:$E$18,'2.Inst.'!$A32,'4.Team'!BK$4:BK$18)</f>
        <v>0</v>
      </c>
      <c r="H32" s="59">
        <f>SUMIF('4.Team'!$E$4:$E$18,'2.Inst.'!$A32,'4.Team'!BL$4:BL$18)</f>
        <v>0</v>
      </c>
      <c r="I32" s="59">
        <f>SUMIF('4.Team'!$E$4:$E$18,'2.Inst.'!$A32,'4.Team'!BM$4:BM$18)</f>
        <v>0</v>
      </c>
      <c r="J32" s="59">
        <f>SUMIF('4.Team'!$E$4:$E$18,'2.Inst.'!$A32,'4.Team'!BN$4:BN$18)</f>
        <v>0</v>
      </c>
      <c r="K32" s="59">
        <f>SUMIF('4.Team'!$E$4:$E$18,'2.Inst.'!$A32,'4.Team'!BO$4:BO$18)</f>
        <v>0</v>
      </c>
      <c r="L32" s="236">
        <f>SUMIF('4.Team'!$E$4:$E$18,'2.Inst.'!$A32,'4.Team'!BP$4:BP$18)</f>
        <v>0</v>
      </c>
      <c r="M32" s="287">
        <f>SUMIF('4.Team'!$E$4:$E$18,'2.Inst.'!$A32,'4.Team'!BQ$4:BQ$18)</f>
        <v>0</v>
      </c>
      <c r="N32" s="237">
        <f>SUMIF('4.Team'!$E$4:$E$18,'2.Inst.'!$A32,'4.Team'!BR$4:BR$18)</f>
        <v>0</v>
      </c>
      <c r="O32" s="237">
        <f>SUMIF('4.Team'!$E$4:$E$18,'2.Inst.'!$A32,'4.Team'!BS$4:BS$18)</f>
        <v>0</v>
      </c>
      <c r="P32" s="237">
        <f>SUMIF('4.Team'!$E$4:$E$18,'2.Inst.'!$A32,'4.Team'!BT$4:BT$18)</f>
        <v>0</v>
      </c>
      <c r="Q32" s="237">
        <f>SUMIF('4.Team'!$E$4:$E$18,'2.Inst.'!$A32,'4.Team'!BU$4:BU$18)</f>
        <v>0</v>
      </c>
      <c r="R32" s="237">
        <f>SUMIF('4.Team'!$E$4:$E$18,'2.Inst.'!$A32,'4.Team'!BV$4:BV$18)</f>
        <v>0</v>
      </c>
      <c r="S32" s="237">
        <f>SUMIF('4.Team'!$E$4:$E$18,'2.Inst.'!$A32,'4.Team'!BW$4:BW$18)</f>
        <v>0</v>
      </c>
      <c r="T32" s="237">
        <f>SUMIF('4.Team'!$E$4:$E$18,'2.Inst.'!$A32,'4.Team'!BX$4:BX$18)</f>
        <v>0</v>
      </c>
      <c r="U32" s="238">
        <f>SUMIF('4.Team'!$E$4:$E$18,'2.Inst.'!$A32,'4.Team'!BY$4:BY$18)</f>
        <v>0</v>
      </c>
      <c r="V32" s="110"/>
      <c r="W32" s="110"/>
      <c r="X32" s="110"/>
      <c r="Y32" s="110"/>
      <c r="Z32" s="120"/>
      <c r="AA32" s="120"/>
      <c r="AB32" s="120"/>
      <c r="AC32" s="486"/>
      <c r="AD32" s="487"/>
    </row>
    <row r="33" spans="1:30" hidden="1">
      <c r="A33" s="60">
        <f>IF(B9="Other",D9,B9)</f>
        <v>0</v>
      </c>
      <c r="B33" s="61">
        <f>SUMIF('4.Team'!$E$4:$E$18,'2.Inst.'!$A33,'4.Team'!BF$4:BF$18)</f>
        <v>0</v>
      </c>
      <c r="C33" s="53">
        <f>SUMIF('4.Team'!$E$4:$E$18,'2.Inst.'!$A33,'4.Team'!BG$4:BG$18)</f>
        <v>0</v>
      </c>
      <c r="D33" s="53">
        <f>SUMIF('4.Team'!$E$4:$E$18,'2.Inst.'!$A33,'4.Team'!BH$4:BH$18)</f>
        <v>0</v>
      </c>
      <c r="E33" s="53">
        <f>SUMIF('4.Team'!$E$4:$E$18,'2.Inst.'!$A33,'4.Team'!BI$4:BI$18)</f>
        <v>0</v>
      </c>
      <c r="F33" s="53">
        <f>SUMIF('4.Team'!$E$4:$E$18,'2.Inst.'!$A33,'4.Team'!BJ$4:BJ$18)</f>
        <v>0</v>
      </c>
      <c r="G33" s="53">
        <f>SUMIF('4.Team'!$E$4:$E$18,'2.Inst.'!$A33,'4.Team'!BK$4:BK$18)</f>
        <v>0</v>
      </c>
      <c r="H33" s="53">
        <f>SUMIF('4.Team'!$E$4:$E$18,'2.Inst.'!$A33,'4.Team'!BL$4:BL$18)</f>
        <v>0</v>
      </c>
      <c r="I33" s="53">
        <f>SUMIF('4.Team'!$E$4:$E$18,'2.Inst.'!$A33,'4.Team'!BM$4:BM$18)</f>
        <v>0</v>
      </c>
      <c r="J33" s="53">
        <f>SUMIF('4.Team'!$E$4:$E$18,'2.Inst.'!$A33,'4.Team'!BN$4:BN$18)</f>
        <v>0</v>
      </c>
      <c r="K33" s="53">
        <f>SUMIF('4.Team'!$E$4:$E$18,'2.Inst.'!$A33,'4.Team'!BO$4:BO$18)</f>
        <v>0</v>
      </c>
      <c r="L33" s="232">
        <f>SUMIF('4.Team'!$E$4:$E$18,'2.Inst.'!$A33,'4.Team'!BP$4:BP$18)</f>
        <v>0</v>
      </c>
      <c r="M33" s="285">
        <f>SUMIF('4.Team'!$E$4:$E$18,'2.Inst.'!$A33,'4.Team'!BQ$4:BQ$18)</f>
        <v>0</v>
      </c>
      <c r="N33" s="110">
        <f>SUMIF('4.Team'!$E$4:$E$18,'2.Inst.'!$A33,'4.Team'!BR$4:BR$18)</f>
        <v>0</v>
      </c>
      <c r="O33" s="110">
        <f>SUMIF('4.Team'!$E$4:$E$18,'2.Inst.'!$A33,'4.Team'!BS$4:BS$18)</f>
        <v>0</v>
      </c>
      <c r="P33" s="110">
        <f>SUMIF('4.Team'!$E$4:$E$18,'2.Inst.'!$A33,'4.Team'!BT$4:BT$18)</f>
        <v>0</v>
      </c>
      <c r="Q33" s="110">
        <f>SUMIF('4.Team'!$E$4:$E$18,'2.Inst.'!$A33,'4.Team'!BU$4:BU$18)</f>
        <v>0</v>
      </c>
      <c r="R33" s="110">
        <f>SUMIF('4.Team'!$E$4:$E$18,'2.Inst.'!$A33,'4.Team'!BV$4:BV$18)</f>
        <v>0</v>
      </c>
      <c r="S33" s="110">
        <f>SUMIF('4.Team'!$E$4:$E$18,'2.Inst.'!$A33,'4.Team'!BW$4:BW$18)</f>
        <v>0</v>
      </c>
      <c r="T33" s="110">
        <f>SUMIF('4.Team'!$E$4:$E$18,'2.Inst.'!$A33,'4.Team'!BX$4:BX$18)</f>
        <v>0</v>
      </c>
      <c r="U33" s="239">
        <f>SUMIF('4.Team'!$E$4:$E$18,'2.Inst.'!$A33,'4.Team'!BY$4:BY$18)</f>
        <v>0</v>
      </c>
      <c r="V33" s="110"/>
      <c r="W33" s="110"/>
      <c r="X33" s="110"/>
      <c r="Y33" s="110"/>
      <c r="Z33" s="120"/>
      <c r="AA33" s="120"/>
      <c r="AB33" s="120"/>
      <c r="AC33" s="486"/>
      <c r="AD33" s="487"/>
    </row>
    <row r="34" spans="1:30" hidden="1">
      <c r="A34" s="60">
        <f>IF(B11="Other",D11,B11)</f>
        <v>0</v>
      </c>
      <c r="B34" s="61">
        <f>SUMIF('4.Team'!$E$4:$E$18,'2.Inst.'!$A34,'4.Team'!BF$4:BF$18)</f>
        <v>0</v>
      </c>
      <c r="C34" s="53">
        <f>SUMIF('4.Team'!$E$4:$E$18,'2.Inst.'!$A34,'4.Team'!BG$4:BG$18)</f>
        <v>0</v>
      </c>
      <c r="D34" s="53">
        <f>SUMIF('4.Team'!$E$4:$E$18,'2.Inst.'!$A34,'4.Team'!BH$4:BH$18)</f>
        <v>0</v>
      </c>
      <c r="E34" s="53">
        <f>SUMIF('4.Team'!$E$4:$E$18,'2.Inst.'!$A34,'4.Team'!BI$4:BI$18)</f>
        <v>0</v>
      </c>
      <c r="F34" s="53">
        <f>SUMIF('4.Team'!$E$4:$E$18,'2.Inst.'!$A34,'4.Team'!BJ$4:BJ$18)</f>
        <v>0</v>
      </c>
      <c r="G34" s="53">
        <f>SUMIF('4.Team'!$E$4:$E$18,'2.Inst.'!$A34,'4.Team'!BK$4:BK$18)</f>
        <v>0</v>
      </c>
      <c r="H34" s="53">
        <f>SUMIF('4.Team'!$E$4:$E$18,'2.Inst.'!$A34,'4.Team'!BL$4:BL$18)</f>
        <v>0</v>
      </c>
      <c r="I34" s="53">
        <f>SUMIF('4.Team'!$E$4:$E$18,'2.Inst.'!$A34,'4.Team'!BM$4:BM$18)</f>
        <v>0</v>
      </c>
      <c r="J34" s="53">
        <f>SUMIF('4.Team'!$E$4:$E$18,'2.Inst.'!$A34,'4.Team'!BN$4:BN$18)</f>
        <v>0</v>
      </c>
      <c r="K34" s="53">
        <f>SUMIF('4.Team'!$E$4:$E$18,'2.Inst.'!$A34,'4.Team'!BO$4:BO$18)</f>
        <v>0</v>
      </c>
      <c r="L34" s="232">
        <f>SUMIF('4.Team'!$E$4:$E$18,'2.Inst.'!$A34,'4.Team'!BP$4:BP$18)</f>
        <v>0</v>
      </c>
      <c r="M34" s="285">
        <f>SUMIF('4.Team'!$E$4:$E$18,'2.Inst.'!$A34,'4.Team'!BQ$4:BQ$18)</f>
        <v>0</v>
      </c>
      <c r="N34" s="110">
        <f>SUMIF('4.Team'!$E$4:$E$18,'2.Inst.'!$A34,'4.Team'!BR$4:BR$18)</f>
        <v>0</v>
      </c>
      <c r="O34" s="110">
        <f>SUMIF('4.Team'!$E$4:$E$18,'2.Inst.'!$A34,'4.Team'!BS$4:BS$18)</f>
        <v>0</v>
      </c>
      <c r="P34" s="110">
        <f>SUMIF('4.Team'!$E$4:$E$18,'2.Inst.'!$A34,'4.Team'!BT$4:BT$18)</f>
        <v>0</v>
      </c>
      <c r="Q34" s="110">
        <f>SUMIF('4.Team'!$E$4:$E$18,'2.Inst.'!$A34,'4.Team'!BU$4:BU$18)</f>
        <v>0</v>
      </c>
      <c r="R34" s="110">
        <f>SUMIF('4.Team'!$E$4:$E$18,'2.Inst.'!$A34,'4.Team'!BV$4:BV$18)</f>
        <v>0</v>
      </c>
      <c r="S34" s="110">
        <f>SUMIF('4.Team'!$E$4:$E$18,'2.Inst.'!$A34,'4.Team'!BW$4:BW$18)</f>
        <v>0</v>
      </c>
      <c r="T34" s="110">
        <f>SUMIF('4.Team'!$E$4:$E$18,'2.Inst.'!$A34,'4.Team'!BX$4:BX$18)</f>
        <v>0</v>
      </c>
      <c r="U34" s="239">
        <f>SUMIF('4.Team'!$E$4:$E$18,'2.Inst.'!$A34,'4.Team'!BY$4:BY$18)</f>
        <v>0</v>
      </c>
      <c r="V34" s="110"/>
      <c r="W34" s="110"/>
      <c r="X34" s="110"/>
      <c r="Y34" s="110"/>
      <c r="Z34" s="120"/>
      <c r="AA34" s="120"/>
      <c r="AB34" s="120"/>
      <c r="AC34" s="486"/>
      <c r="AD34" s="487"/>
    </row>
    <row r="35" spans="1:30" hidden="1">
      <c r="A35" s="60">
        <f>IF(B13="Other",D13,B13)</f>
        <v>0</v>
      </c>
      <c r="B35" s="61">
        <f>SUMIF('4.Team'!$E$4:$E$18,'2.Inst.'!$A35,'4.Team'!BF$4:BF$18)</f>
        <v>0</v>
      </c>
      <c r="C35" s="53">
        <f>SUMIF('4.Team'!$E$4:$E$18,'2.Inst.'!$A35,'4.Team'!BG$4:BG$18)</f>
        <v>0</v>
      </c>
      <c r="D35" s="53">
        <f>SUMIF('4.Team'!$E$4:$E$18,'2.Inst.'!$A35,'4.Team'!BH$4:BH$18)</f>
        <v>0</v>
      </c>
      <c r="E35" s="53">
        <f>SUMIF('4.Team'!$E$4:$E$18,'2.Inst.'!$A35,'4.Team'!BI$4:BI$18)</f>
        <v>0</v>
      </c>
      <c r="F35" s="53">
        <f>SUMIF('4.Team'!$E$4:$E$18,'2.Inst.'!$A35,'4.Team'!BJ$4:BJ$18)</f>
        <v>0</v>
      </c>
      <c r="G35" s="53">
        <f>SUMIF('4.Team'!$E$4:$E$18,'2.Inst.'!$A35,'4.Team'!BK$4:BK$18)</f>
        <v>0</v>
      </c>
      <c r="H35" s="53">
        <f>SUMIF('4.Team'!$E$4:$E$18,'2.Inst.'!$A35,'4.Team'!BL$4:BL$18)</f>
        <v>0</v>
      </c>
      <c r="I35" s="53">
        <f>SUMIF('4.Team'!$E$4:$E$18,'2.Inst.'!$A35,'4.Team'!BM$4:BM$18)</f>
        <v>0</v>
      </c>
      <c r="J35" s="53">
        <f>SUMIF('4.Team'!$E$4:$E$18,'2.Inst.'!$A35,'4.Team'!BN$4:BN$18)</f>
        <v>0</v>
      </c>
      <c r="K35" s="53">
        <f>SUMIF('4.Team'!$E$4:$E$18,'2.Inst.'!$A35,'4.Team'!BO$4:BO$18)</f>
        <v>0</v>
      </c>
      <c r="L35" s="232">
        <f>SUMIF('4.Team'!$E$4:$E$18,'2.Inst.'!$A35,'4.Team'!BP$4:BP$18)</f>
        <v>0</v>
      </c>
      <c r="M35" s="285">
        <f>SUMIF('4.Team'!$E$4:$E$18,'2.Inst.'!$A35,'4.Team'!BQ$4:BQ$18)</f>
        <v>0</v>
      </c>
      <c r="N35" s="110">
        <f>SUMIF('4.Team'!$E$4:$E$18,'2.Inst.'!$A35,'4.Team'!BR$4:BR$18)</f>
        <v>0</v>
      </c>
      <c r="O35" s="110">
        <f>SUMIF('4.Team'!$E$4:$E$18,'2.Inst.'!$A35,'4.Team'!BS$4:BS$18)</f>
        <v>0</v>
      </c>
      <c r="P35" s="110">
        <f>SUMIF('4.Team'!$E$4:$E$18,'2.Inst.'!$A35,'4.Team'!BT$4:BT$18)</f>
        <v>0</v>
      </c>
      <c r="Q35" s="110">
        <f>SUMIF('4.Team'!$E$4:$E$18,'2.Inst.'!$A35,'4.Team'!BU$4:BU$18)</f>
        <v>0</v>
      </c>
      <c r="R35" s="110">
        <f>SUMIF('4.Team'!$E$4:$E$18,'2.Inst.'!$A35,'4.Team'!BV$4:BV$18)</f>
        <v>0</v>
      </c>
      <c r="S35" s="110">
        <f>SUMIF('4.Team'!$E$4:$E$18,'2.Inst.'!$A35,'4.Team'!BW$4:BW$18)</f>
        <v>0</v>
      </c>
      <c r="T35" s="110">
        <f>SUMIF('4.Team'!$E$4:$E$18,'2.Inst.'!$A35,'4.Team'!BX$4:BX$18)</f>
        <v>0</v>
      </c>
      <c r="U35" s="239">
        <f>SUMIF('4.Team'!$E$4:$E$18,'2.Inst.'!$A35,'4.Team'!BY$4:BY$18)</f>
        <v>0</v>
      </c>
      <c r="V35" s="110"/>
      <c r="W35" s="110"/>
      <c r="X35" s="110"/>
      <c r="Y35" s="110"/>
      <c r="Z35" s="120"/>
      <c r="AA35" s="120"/>
      <c r="AB35" s="120"/>
      <c r="AC35" s="486"/>
      <c r="AD35" s="487"/>
    </row>
    <row r="36" spans="1:30" hidden="1">
      <c r="A36" s="60">
        <f>IF(B15="Other",D15,B15)</f>
        <v>0</v>
      </c>
      <c r="B36" s="61">
        <f>SUMIF('4.Team'!$E$4:$E$18,'2.Inst.'!$A36,'4.Team'!BF$4:BF$18)</f>
        <v>0</v>
      </c>
      <c r="C36" s="53">
        <f>SUMIF('4.Team'!$E$4:$E$18,'2.Inst.'!$A36,'4.Team'!BG$4:BG$18)</f>
        <v>0</v>
      </c>
      <c r="D36" s="53">
        <f>SUMIF('4.Team'!$E$4:$E$18,'2.Inst.'!$A36,'4.Team'!BH$4:BH$18)</f>
        <v>0</v>
      </c>
      <c r="E36" s="53">
        <f>SUMIF('4.Team'!$E$4:$E$18,'2.Inst.'!$A36,'4.Team'!BI$4:BI$18)</f>
        <v>0</v>
      </c>
      <c r="F36" s="53">
        <f>SUMIF('4.Team'!$E$4:$E$18,'2.Inst.'!$A36,'4.Team'!BJ$4:BJ$18)</f>
        <v>0</v>
      </c>
      <c r="G36" s="53">
        <f>SUMIF('4.Team'!$E$4:$E$18,'2.Inst.'!$A36,'4.Team'!BK$4:BK$18)</f>
        <v>0</v>
      </c>
      <c r="H36" s="53">
        <f>SUMIF('4.Team'!$E$4:$E$18,'2.Inst.'!$A36,'4.Team'!BL$4:BL$18)</f>
        <v>0</v>
      </c>
      <c r="I36" s="53">
        <f>SUMIF('4.Team'!$E$4:$E$18,'2.Inst.'!$A36,'4.Team'!BM$4:BM$18)</f>
        <v>0</v>
      </c>
      <c r="J36" s="53">
        <f>SUMIF('4.Team'!$E$4:$E$18,'2.Inst.'!$A36,'4.Team'!BN$4:BN$18)</f>
        <v>0</v>
      </c>
      <c r="K36" s="53">
        <f>SUMIF('4.Team'!$E$4:$E$18,'2.Inst.'!$A36,'4.Team'!BO$4:BO$18)</f>
        <v>0</v>
      </c>
      <c r="L36" s="232">
        <f>SUMIF('4.Team'!$E$4:$E$18,'2.Inst.'!$A36,'4.Team'!BP$4:BP$18)</f>
        <v>0</v>
      </c>
      <c r="M36" s="285">
        <f>SUMIF('4.Team'!$E$4:$E$18,'2.Inst.'!$A36,'4.Team'!BQ$4:BQ$18)</f>
        <v>0</v>
      </c>
      <c r="N36" s="110">
        <f>SUMIF('4.Team'!$E$4:$E$18,'2.Inst.'!$A36,'4.Team'!BR$4:BR$18)</f>
        <v>0</v>
      </c>
      <c r="O36" s="110">
        <f>SUMIF('4.Team'!$E$4:$E$18,'2.Inst.'!$A36,'4.Team'!BS$4:BS$18)</f>
        <v>0</v>
      </c>
      <c r="P36" s="110">
        <f>SUMIF('4.Team'!$E$4:$E$18,'2.Inst.'!$A36,'4.Team'!BT$4:BT$18)</f>
        <v>0</v>
      </c>
      <c r="Q36" s="110">
        <f>SUMIF('4.Team'!$E$4:$E$18,'2.Inst.'!$A36,'4.Team'!BU$4:BU$18)</f>
        <v>0</v>
      </c>
      <c r="R36" s="110">
        <f>SUMIF('4.Team'!$E$4:$E$18,'2.Inst.'!$A36,'4.Team'!BV$4:BV$18)</f>
        <v>0</v>
      </c>
      <c r="S36" s="110">
        <f>SUMIF('4.Team'!$E$4:$E$18,'2.Inst.'!$A36,'4.Team'!BW$4:BW$18)</f>
        <v>0</v>
      </c>
      <c r="T36" s="110">
        <f>SUMIF('4.Team'!$E$4:$E$18,'2.Inst.'!$A36,'4.Team'!BX$4:BX$18)</f>
        <v>0</v>
      </c>
      <c r="U36" s="239">
        <f>SUMIF('4.Team'!$E$4:$E$18,'2.Inst.'!$A36,'4.Team'!BY$4:BY$18)</f>
        <v>0</v>
      </c>
      <c r="V36" s="110"/>
      <c r="W36" s="110"/>
      <c r="X36" s="110"/>
      <c r="Y36" s="110"/>
      <c r="Z36" s="120"/>
      <c r="AA36" s="120"/>
      <c r="AB36" s="120"/>
      <c r="AC36" s="486"/>
      <c r="AD36" s="487"/>
    </row>
    <row r="37" spans="1:30" hidden="1">
      <c r="A37" s="60">
        <f>IF(B17="Other",D17,B17)</f>
        <v>0</v>
      </c>
      <c r="B37" s="61">
        <f>SUMIF('4.Team'!$E$4:$E$18,'2.Inst.'!$A37,'4.Team'!BF$4:BF$18)</f>
        <v>0</v>
      </c>
      <c r="C37" s="53">
        <f>SUMIF('4.Team'!$E$4:$E$18,'2.Inst.'!$A37,'4.Team'!BG$4:BG$18)</f>
        <v>0</v>
      </c>
      <c r="D37" s="53">
        <f>SUMIF('4.Team'!$E$4:$E$18,'2.Inst.'!$A37,'4.Team'!BH$4:BH$18)</f>
        <v>0</v>
      </c>
      <c r="E37" s="53">
        <f>SUMIF('4.Team'!$E$4:$E$18,'2.Inst.'!$A37,'4.Team'!BI$4:BI$18)</f>
        <v>0</v>
      </c>
      <c r="F37" s="53">
        <f>SUMIF('4.Team'!$E$4:$E$18,'2.Inst.'!$A37,'4.Team'!BJ$4:BJ$18)</f>
        <v>0</v>
      </c>
      <c r="G37" s="53">
        <f>SUMIF('4.Team'!$E$4:$E$18,'2.Inst.'!$A37,'4.Team'!BK$4:BK$18)</f>
        <v>0</v>
      </c>
      <c r="H37" s="53">
        <f>SUMIF('4.Team'!$E$4:$E$18,'2.Inst.'!$A37,'4.Team'!BL$4:BL$18)</f>
        <v>0</v>
      </c>
      <c r="I37" s="53">
        <f>SUMIF('4.Team'!$E$4:$E$18,'2.Inst.'!$A37,'4.Team'!BM$4:BM$18)</f>
        <v>0</v>
      </c>
      <c r="J37" s="53">
        <f>SUMIF('4.Team'!$E$4:$E$18,'2.Inst.'!$A37,'4.Team'!BN$4:BN$18)</f>
        <v>0</v>
      </c>
      <c r="K37" s="53">
        <f>SUMIF('4.Team'!$E$4:$E$18,'2.Inst.'!$A37,'4.Team'!BO$4:BO$18)</f>
        <v>0</v>
      </c>
      <c r="L37" s="232">
        <f>SUMIF('4.Team'!$E$4:$E$18,'2.Inst.'!$A37,'4.Team'!BP$4:BP$18)</f>
        <v>0</v>
      </c>
      <c r="M37" s="285">
        <f>SUMIF('4.Team'!$E$4:$E$18,'2.Inst.'!$A37,'4.Team'!BQ$4:BQ$18)</f>
        <v>0</v>
      </c>
      <c r="N37" s="110">
        <f>SUMIF('4.Team'!$E$4:$E$18,'2.Inst.'!$A37,'4.Team'!BR$4:BR$18)</f>
        <v>0</v>
      </c>
      <c r="O37" s="110">
        <f>SUMIF('4.Team'!$E$4:$E$18,'2.Inst.'!$A37,'4.Team'!BS$4:BS$18)</f>
        <v>0</v>
      </c>
      <c r="P37" s="110">
        <f>SUMIF('4.Team'!$E$4:$E$18,'2.Inst.'!$A37,'4.Team'!BT$4:BT$18)</f>
        <v>0</v>
      </c>
      <c r="Q37" s="110">
        <f>SUMIF('4.Team'!$E$4:$E$18,'2.Inst.'!$A37,'4.Team'!BU$4:BU$18)</f>
        <v>0</v>
      </c>
      <c r="R37" s="110">
        <f>SUMIF('4.Team'!$E$4:$E$18,'2.Inst.'!$A37,'4.Team'!BV$4:BV$18)</f>
        <v>0</v>
      </c>
      <c r="S37" s="110">
        <f>SUMIF('4.Team'!$E$4:$E$18,'2.Inst.'!$A37,'4.Team'!BW$4:BW$18)</f>
        <v>0</v>
      </c>
      <c r="T37" s="110">
        <f>SUMIF('4.Team'!$E$4:$E$18,'2.Inst.'!$A37,'4.Team'!BX$4:BX$18)</f>
        <v>0</v>
      </c>
      <c r="U37" s="239">
        <f>SUMIF('4.Team'!$E$4:$E$18,'2.Inst.'!$A37,'4.Team'!BY$4:BY$18)</f>
        <v>0</v>
      </c>
      <c r="V37" s="110"/>
      <c r="W37" s="110"/>
      <c r="X37" s="110"/>
      <c r="Y37" s="110"/>
      <c r="Z37" s="120"/>
      <c r="AA37" s="120"/>
      <c r="AB37" s="120"/>
      <c r="AC37" s="486"/>
      <c r="AD37" s="487"/>
    </row>
    <row r="38" spans="1:30" hidden="1">
      <c r="A38" s="60">
        <f>IF(B19="Other",D19,B19)</f>
        <v>0</v>
      </c>
      <c r="B38" s="61">
        <f>SUMIF('4.Team'!$E$4:$E$18,'2.Inst.'!$A38,'4.Team'!BF$4:BF$18)</f>
        <v>0</v>
      </c>
      <c r="C38" s="53">
        <f>SUMIF('4.Team'!$E$4:$E$18,'2.Inst.'!$A38,'4.Team'!BG$4:BG$18)</f>
        <v>0</v>
      </c>
      <c r="D38" s="53">
        <f>SUMIF('4.Team'!$E$4:$E$18,'2.Inst.'!$A38,'4.Team'!BH$4:BH$18)</f>
        <v>0</v>
      </c>
      <c r="E38" s="53">
        <f>SUMIF('4.Team'!$E$4:$E$18,'2.Inst.'!$A38,'4.Team'!BI$4:BI$18)</f>
        <v>0</v>
      </c>
      <c r="F38" s="53">
        <f>SUMIF('4.Team'!$E$4:$E$18,'2.Inst.'!$A38,'4.Team'!BJ$4:BJ$18)</f>
        <v>0</v>
      </c>
      <c r="G38" s="53">
        <f>SUMIF('4.Team'!$E$4:$E$18,'2.Inst.'!$A38,'4.Team'!BK$4:BK$18)</f>
        <v>0</v>
      </c>
      <c r="H38" s="53">
        <f>SUMIF('4.Team'!$E$4:$E$18,'2.Inst.'!$A38,'4.Team'!BL$4:BL$18)</f>
        <v>0</v>
      </c>
      <c r="I38" s="53">
        <f>SUMIF('4.Team'!$E$4:$E$18,'2.Inst.'!$A38,'4.Team'!BM$4:BM$18)</f>
        <v>0</v>
      </c>
      <c r="J38" s="53">
        <f>SUMIF('4.Team'!$E$4:$E$18,'2.Inst.'!$A38,'4.Team'!BN$4:BN$18)</f>
        <v>0</v>
      </c>
      <c r="K38" s="53">
        <f>SUMIF('4.Team'!$E$4:$E$18,'2.Inst.'!$A38,'4.Team'!BO$4:BO$18)</f>
        <v>0</v>
      </c>
      <c r="L38" s="232">
        <f>SUMIF('4.Team'!$E$4:$E$18,'2.Inst.'!$A38,'4.Team'!BP$4:BP$18)</f>
        <v>0</v>
      </c>
      <c r="M38" s="285">
        <f>SUMIF('4.Team'!$E$4:$E$18,'2.Inst.'!$A38,'4.Team'!BQ$4:BQ$18)</f>
        <v>0</v>
      </c>
      <c r="N38" s="110">
        <f>SUMIF('4.Team'!$E$4:$E$18,'2.Inst.'!$A38,'4.Team'!BR$4:BR$18)</f>
        <v>0</v>
      </c>
      <c r="O38" s="110">
        <f>SUMIF('4.Team'!$E$4:$E$18,'2.Inst.'!$A38,'4.Team'!BS$4:BS$18)</f>
        <v>0</v>
      </c>
      <c r="P38" s="110">
        <f>SUMIF('4.Team'!$E$4:$E$18,'2.Inst.'!$A38,'4.Team'!BT$4:BT$18)</f>
        <v>0</v>
      </c>
      <c r="Q38" s="110">
        <f>SUMIF('4.Team'!$E$4:$E$18,'2.Inst.'!$A38,'4.Team'!BU$4:BU$18)</f>
        <v>0</v>
      </c>
      <c r="R38" s="110">
        <f>SUMIF('4.Team'!$E$4:$E$18,'2.Inst.'!$A38,'4.Team'!BV$4:BV$18)</f>
        <v>0</v>
      </c>
      <c r="S38" s="110">
        <f>SUMIF('4.Team'!$E$4:$E$18,'2.Inst.'!$A38,'4.Team'!BW$4:BW$18)</f>
        <v>0</v>
      </c>
      <c r="T38" s="110">
        <f>SUMIF('4.Team'!$E$4:$E$18,'2.Inst.'!$A38,'4.Team'!BX$4:BX$18)</f>
        <v>0</v>
      </c>
      <c r="U38" s="239">
        <f>SUMIF('4.Team'!$E$4:$E$18,'2.Inst.'!$A38,'4.Team'!BY$4:BY$18)</f>
        <v>0</v>
      </c>
      <c r="V38" s="110"/>
      <c r="W38" s="110"/>
      <c r="X38" s="110"/>
      <c r="Y38" s="110"/>
      <c r="Z38" s="120"/>
      <c r="AA38" s="120"/>
      <c r="AB38" s="120"/>
      <c r="AC38" s="486"/>
      <c r="AD38" s="487"/>
    </row>
    <row r="39" spans="1:30" hidden="1">
      <c r="A39" s="60">
        <f>IF(B21="Other",D21,B21)</f>
        <v>0</v>
      </c>
      <c r="B39" s="61">
        <f>SUMIF('4.Team'!$E$4:$E$18,'2.Inst.'!$A39,'4.Team'!BF$4:BF$18)</f>
        <v>0</v>
      </c>
      <c r="C39" s="53">
        <f>SUMIF('4.Team'!$E$4:$E$18,'2.Inst.'!$A39,'4.Team'!BG$4:BG$18)</f>
        <v>0</v>
      </c>
      <c r="D39" s="53">
        <f>SUMIF('4.Team'!$E$4:$E$18,'2.Inst.'!$A39,'4.Team'!BH$4:BH$18)</f>
        <v>0</v>
      </c>
      <c r="E39" s="53">
        <f>SUMIF('4.Team'!$E$4:$E$18,'2.Inst.'!$A39,'4.Team'!BI$4:BI$18)</f>
        <v>0</v>
      </c>
      <c r="F39" s="53">
        <f>SUMIF('4.Team'!$E$4:$E$18,'2.Inst.'!$A39,'4.Team'!BJ$4:BJ$18)</f>
        <v>0</v>
      </c>
      <c r="G39" s="53">
        <f>SUMIF('4.Team'!$E$4:$E$18,'2.Inst.'!$A39,'4.Team'!BK$4:BK$18)</f>
        <v>0</v>
      </c>
      <c r="H39" s="53">
        <f>SUMIF('4.Team'!$E$4:$E$18,'2.Inst.'!$A39,'4.Team'!BL$4:BL$18)</f>
        <v>0</v>
      </c>
      <c r="I39" s="53">
        <f>SUMIF('4.Team'!$E$4:$E$18,'2.Inst.'!$A39,'4.Team'!BM$4:BM$18)</f>
        <v>0</v>
      </c>
      <c r="J39" s="53">
        <f>SUMIF('4.Team'!$E$4:$E$18,'2.Inst.'!$A39,'4.Team'!BN$4:BN$18)</f>
        <v>0</v>
      </c>
      <c r="K39" s="53">
        <f>SUMIF('4.Team'!$E$4:$E$18,'2.Inst.'!$A39,'4.Team'!BO$4:BO$18)</f>
        <v>0</v>
      </c>
      <c r="L39" s="232">
        <f>SUMIF('4.Team'!$E$4:$E$18,'2.Inst.'!$A39,'4.Team'!BP$4:BP$18)</f>
        <v>0</v>
      </c>
      <c r="M39" s="285">
        <f>SUMIF('4.Team'!$E$4:$E$18,'2.Inst.'!$A39,'4.Team'!BQ$4:BQ$18)</f>
        <v>0</v>
      </c>
      <c r="N39" s="110">
        <f>SUMIF('4.Team'!$E$4:$E$18,'2.Inst.'!$A39,'4.Team'!BR$4:BR$18)</f>
        <v>0</v>
      </c>
      <c r="O39" s="110">
        <f>SUMIF('4.Team'!$E$4:$E$18,'2.Inst.'!$A39,'4.Team'!BS$4:BS$18)</f>
        <v>0</v>
      </c>
      <c r="P39" s="110">
        <f>SUMIF('4.Team'!$E$4:$E$18,'2.Inst.'!$A39,'4.Team'!BT$4:BT$18)</f>
        <v>0</v>
      </c>
      <c r="Q39" s="110">
        <f>SUMIF('4.Team'!$E$4:$E$18,'2.Inst.'!$A39,'4.Team'!BU$4:BU$18)</f>
        <v>0</v>
      </c>
      <c r="R39" s="110">
        <f>SUMIF('4.Team'!$E$4:$E$18,'2.Inst.'!$A39,'4.Team'!BV$4:BV$18)</f>
        <v>0</v>
      </c>
      <c r="S39" s="110">
        <f>SUMIF('4.Team'!$E$4:$E$18,'2.Inst.'!$A39,'4.Team'!BW$4:BW$18)</f>
        <v>0</v>
      </c>
      <c r="T39" s="110">
        <f>SUMIF('4.Team'!$E$4:$E$18,'2.Inst.'!$A39,'4.Team'!BX$4:BX$18)</f>
        <v>0</v>
      </c>
      <c r="U39" s="239">
        <f>SUMIF('4.Team'!$E$4:$E$18,'2.Inst.'!$A39,'4.Team'!BY$4:BY$18)</f>
        <v>0</v>
      </c>
      <c r="V39" s="110"/>
      <c r="W39" s="110"/>
      <c r="X39" s="110"/>
      <c r="Y39" s="110"/>
      <c r="Z39" s="120"/>
      <c r="AA39" s="120"/>
      <c r="AB39" s="120"/>
      <c r="AC39" s="486"/>
      <c r="AD39" s="487"/>
    </row>
    <row r="40" spans="1:30" hidden="1">
      <c r="A40" s="60">
        <f>IF(B23="Other",D23,B23)</f>
        <v>0</v>
      </c>
      <c r="B40" s="61">
        <f>SUMIF('4.Team'!$E$4:$E$18,'2.Inst.'!$A40,'4.Team'!BF$4:BF$18)</f>
        <v>0</v>
      </c>
      <c r="C40" s="53">
        <f>SUMIF('4.Team'!$E$4:$E$18,'2.Inst.'!$A40,'4.Team'!BG$4:BG$18)</f>
        <v>0</v>
      </c>
      <c r="D40" s="53">
        <f>SUMIF('4.Team'!$E$4:$E$18,'2.Inst.'!$A40,'4.Team'!BH$4:BH$18)</f>
        <v>0</v>
      </c>
      <c r="E40" s="53">
        <f>SUMIF('4.Team'!$E$4:$E$18,'2.Inst.'!$A40,'4.Team'!BI$4:BI$18)</f>
        <v>0</v>
      </c>
      <c r="F40" s="53">
        <f>SUMIF('4.Team'!$E$4:$E$18,'2.Inst.'!$A40,'4.Team'!BJ$4:BJ$18)</f>
        <v>0</v>
      </c>
      <c r="G40" s="53">
        <f>SUMIF('4.Team'!$E$4:$E$18,'2.Inst.'!$A40,'4.Team'!BK$4:BK$18)</f>
        <v>0</v>
      </c>
      <c r="H40" s="53">
        <f>SUMIF('4.Team'!$E$4:$E$18,'2.Inst.'!$A40,'4.Team'!BL$4:BL$18)</f>
        <v>0</v>
      </c>
      <c r="I40" s="53">
        <f>SUMIF('4.Team'!$E$4:$E$18,'2.Inst.'!$A40,'4.Team'!BM$4:BM$18)</f>
        <v>0</v>
      </c>
      <c r="J40" s="53">
        <f>SUMIF('4.Team'!$E$4:$E$18,'2.Inst.'!$A40,'4.Team'!BN$4:BN$18)</f>
        <v>0</v>
      </c>
      <c r="K40" s="53">
        <f>SUMIF('4.Team'!$E$4:$E$18,'2.Inst.'!$A40,'4.Team'!BO$4:BO$18)</f>
        <v>0</v>
      </c>
      <c r="L40" s="232">
        <f>SUMIF('4.Team'!$E$4:$E$18,'2.Inst.'!$A40,'4.Team'!BP$4:BP$18)</f>
        <v>0</v>
      </c>
      <c r="M40" s="285">
        <f>SUMIF('4.Team'!$E$4:$E$18,'2.Inst.'!$A40,'4.Team'!BQ$4:BQ$18)</f>
        <v>0</v>
      </c>
      <c r="N40" s="110">
        <f>SUMIF('4.Team'!$E$4:$E$18,'2.Inst.'!$A40,'4.Team'!BR$4:BR$18)</f>
        <v>0</v>
      </c>
      <c r="O40" s="110">
        <f>SUMIF('4.Team'!$E$4:$E$18,'2.Inst.'!$A40,'4.Team'!BS$4:BS$18)</f>
        <v>0</v>
      </c>
      <c r="P40" s="110">
        <f>SUMIF('4.Team'!$E$4:$E$18,'2.Inst.'!$A40,'4.Team'!BT$4:BT$18)</f>
        <v>0</v>
      </c>
      <c r="Q40" s="110">
        <f>SUMIF('4.Team'!$E$4:$E$18,'2.Inst.'!$A40,'4.Team'!BU$4:BU$18)</f>
        <v>0</v>
      </c>
      <c r="R40" s="110">
        <f>SUMIF('4.Team'!$E$4:$E$18,'2.Inst.'!$A40,'4.Team'!BV$4:BV$18)</f>
        <v>0</v>
      </c>
      <c r="S40" s="110">
        <f>SUMIF('4.Team'!$E$4:$E$18,'2.Inst.'!$A40,'4.Team'!BW$4:BW$18)</f>
        <v>0</v>
      </c>
      <c r="T40" s="110">
        <f>SUMIF('4.Team'!$E$4:$E$18,'2.Inst.'!$A40,'4.Team'!BX$4:BX$18)</f>
        <v>0</v>
      </c>
      <c r="U40" s="239">
        <f>SUMIF('4.Team'!$E$4:$E$18,'2.Inst.'!$A40,'4.Team'!BY$4:BY$18)</f>
        <v>0</v>
      </c>
      <c r="V40" s="110"/>
      <c r="W40" s="110"/>
      <c r="X40" s="110"/>
      <c r="Y40" s="110"/>
      <c r="Z40" s="120"/>
      <c r="AA40" s="120"/>
      <c r="AB40" s="120"/>
      <c r="AC40" s="486"/>
      <c r="AD40" s="487"/>
    </row>
    <row r="41" spans="1:30" hidden="1">
      <c r="A41" s="60">
        <f>IF(B25="Other",D25,B25)</f>
        <v>0</v>
      </c>
      <c r="B41" s="61">
        <f>SUMIF('4.Team'!$E$4:$E$18,'2.Inst.'!$A41,'4.Team'!BF$4:BF$18)</f>
        <v>0</v>
      </c>
      <c r="C41" s="53">
        <f>SUMIF('4.Team'!$E$4:$E$18,'2.Inst.'!$A41,'4.Team'!BG$4:BG$18)</f>
        <v>0</v>
      </c>
      <c r="D41" s="53">
        <f>SUMIF('4.Team'!$E$4:$E$18,'2.Inst.'!$A41,'4.Team'!BH$4:BH$18)</f>
        <v>0</v>
      </c>
      <c r="E41" s="53">
        <f>SUMIF('4.Team'!$E$4:$E$18,'2.Inst.'!$A41,'4.Team'!BI$4:BI$18)</f>
        <v>0</v>
      </c>
      <c r="F41" s="53">
        <f>SUMIF('4.Team'!$E$4:$E$18,'2.Inst.'!$A41,'4.Team'!BJ$4:BJ$18)</f>
        <v>0</v>
      </c>
      <c r="G41" s="53">
        <f>SUMIF('4.Team'!$E$4:$E$18,'2.Inst.'!$A41,'4.Team'!BK$4:BK$18)</f>
        <v>0</v>
      </c>
      <c r="H41" s="53">
        <f>SUMIF('4.Team'!$E$4:$E$18,'2.Inst.'!$A41,'4.Team'!BL$4:BL$18)</f>
        <v>0</v>
      </c>
      <c r="I41" s="53">
        <f>SUMIF('4.Team'!$E$4:$E$18,'2.Inst.'!$A41,'4.Team'!BM$4:BM$18)</f>
        <v>0</v>
      </c>
      <c r="J41" s="53">
        <f>SUMIF('4.Team'!$E$4:$E$18,'2.Inst.'!$A41,'4.Team'!BN$4:BN$18)</f>
        <v>0</v>
      </c>
      <c r="K41" s="53">
        <f>SUMIF('4.Team'!$E$4:$E$18,'2.Inst.'!$A41,'4.Team'!BO$4:BO$18)</f>
        <v>0</v>
      </c>
      <c r="L41" s="232">
        <f>SUMIF('4.Team'!$E$4:$E$18,'2.Inst.'!$A41,'4.Team'!BP$4:BP$18)</f>
        <v>0</v>
      </c>
      <c r="M41" s="285">
        <f>SUMIF('4.Team'!$E$4:$E$18,'2.Inst.'!$A41,'4.Team'!BQ$4:BQ$18)</f>
        <v>0</v>
      </c>
      <c r="N41" s="110">
        <f>SUMIF('4.Team'!$E$4:$E$18,'2.Inst.'!$A41,'4.Team'!BR$4:BR$18)</f>
        <v>0</v>
      </c>
      <c r="O41" s="110">
        <f>SUMIF('4.Team'!$E$4:$E$18,'2.Inst.'!$A41,'4.Team'!BS$4:BS$18)</f>
        <v>0</v>
      </c>
      <c r="P41" s="110">
        <f>SUMIF('4.Team'!$E$4:$E$18,'2.Inst.'!$A41,'4.Team'!BT$4:BT$18)</f>
        <v>0</v>
      </c>
      <c r="Q41" s="110">
        <f>SUMIF('4.Team'!$E$4:$E$18,'2.Inst.'!$A41,'4.Team'!BU$4:BU$18)</f>
        <v>0</v>
      </c>
      <c r="R41" s="110">
        <f>SUMIF('4.Team'!$E$4:$E$18,'2.Inst.'!$A41,'4.Team'!BV$4:BV$18)</f>
        <v>0</v>
      </c>
      <c r="S41" s="110">
        <f>SUMIF('4.Team'!$E$4:$E$18,'2.Inst.'!$A41,'4.Team'!BW$4:BW$18)</f>
        <v>0</v>
      </c>
      <c r="T41" s="110">
        <f>SUMIF('4.Team'!$E$4:$E$18,'2.Inst.'!$A41,'4.Team'!BX$4:BX$18)</f>
        <v>0</v>
      </c>
      <c r="U41" s="239">
        <f>SUMIF('4.Team'!$E$4:$E$18,'2.Inst.'!$A41,'4.Team'!BY$4:BY$18)</f>
        <v>0</v>
      </c>
      <c r="V41" s="110"/>
      <c r="W41" s="110"/>
      <c r="X41" s="110"/>
      <c r="Y41" s="110"/>
      <c r="Z41" s="120"/>
      <c r="AA41" s="120"/>
      <c r="AB41" s="120"/>
      <c r="AC41" s="486"/>
      <c r="AD41" s="487"/>
    </row>
    <row r="42" spans="1:30" ht="15.75" hidden="1" thickBot="1">
      <c r="A42" s="62">
        <f>IF(B27="Other",D27,B27)</f>
        <v>0</v>
      </c>
      <c r="B42" s="63">
        <f>SUMIF('4.Team'!$E$4:$E$18,'2.Inst.'!$A42,'4.Team'!BF$4:BF$18)</f>
        <v>0</v>
      </c>
      <c r="C42" s="64">
        <f>SUMIF('4.Team'!$E$4:$E$18,'2.Inst.'!$A42,'4.Team'!BG$4:BG$18)</f>
        <v>0</v>
      </c>
      <c r="D42" s="64">
        <f>SUMIF('4.Team'!$E$4:$E$18,'2.Inst.'!$A42,'4.Team'!BH$4:BH$18)</f>
        <v>0</v>
      </c>
      <c r="E42" s="64">
        <f>SUMIF('4.Team'!$E$4:$E$18,'2.Inst.'!$A42,'4.Team'!BI$4:BI$18)</f>
        <v>0</v>
      </c>
      <c r="F42" s="64">
        <f>SUMIF('4.Team'!$E$4:$E$18,'2.Inst.'!$A42,'4.Team'!BJ$4:BJ$18)</f>
        <v>0</v>
      </c>
      <c r="G42" s="64">
        <f>SUMIF('4.Team'!$E$4:$E$18,'2.Inst.'!$A42,'4.Team'!BK$4:BK$18)</f>
        <v>0</v>
      </c>
      <c r="H42" s="64">
        <f>SUMIF('4.Team'!$E$4:$E$18,'2.Inst.'!$A42,'4.Team'!BL$4:BL$18)</f>
        <v>0</v>
      </c>
      <c r="I42" s="64">
        <f>SUMIF('4.Team'!$E$4:$E$18,'2.Inst.'!$A42,'4.Team'!BM$4:BM$18)</f>
        <v>0</v>
      </c>
      <c r="J42" s="64">
        <f>SUMIF('4.Team'!$E$4:$E$18,'2.Inst.'!$A42,'4.Team'!BN$4:BN$18)</f>
        <v>0</v>
      </c>
      <c r="K42" s="64">
        <f>SUMIF('4.Team'!$E$4:$E$18,'2.Inst.'!$A42,'4.Team'!BO$4:BO$18)</f>
        <v>0</v>
      </c>
      <c r="L42" s="240">
        <f>SUMIF('4.Team'!$E$4:$E$18,'2.Inst.'!$A42,'4.Team'!BP$4:BP$18)</f>
        <v>0</v>
      </c>
      <c r="M42" s="288">
        <f>SUMIF('4.Team'!$E$4:$E$18,'2.Inst.'!$A42,'4.Team'!BQ$4:BQ$18)</f>
        <v>0</v>
      </c>
      <c r="N42" s="241">
        <f>SUMIF('4.Team'!$E$4:$E$18,'2.Inst.'!$A42,'4.Team'!BR$4:BR$18)</f>
        <v>0</v>
      </c>
      <c r="O42" s="241">
        <f>SUMIF('4.Team'!$E$4:$E$18,'2.Inst.'!$A42,'4.Team'!BS$4:BS$18)</f>
        <v>0</v>
      </c>
      <c r="P42" s="241">
        <f>SUMIF('4.Team'!$E$4:$E$18,'2.Inst.'!$A42,'4.Team'!BT$4:BT$18)</f>
        <v>0</v>
      </c>
      <c r="Q42" s="241">
        <f>SUMIF('4.Team'!$E$4:$E$18,'2.Inst.'!$A42,'4.Team'!BU$4:BU$18)</f>
        <v>0</v>
      </c>
      <c r="R42" s="241">
        <f>SUMIF('4.Team'!$E$4:$E$18,'2.Inst.'!$A42,'4.Team'!BV$4:BV$18)</f>
        <v>0</v>
      </c>
      <c r="S42" s="241">
        <f>SUMIF('4.Team'!$E$4:$E$18,'2.Inst.'!$A42,'4.Team'!BW$4:BW$18)</f>
        <v>0</v>
      </c>
      <c r="T42" s="241">
        <f>SUMIF('4.Team'!$E$4:$E$18,'2.Inst.'!$A42,'4.Team'!BX$4:BX$18)</f>
        <v>0</v>
      </c>
      <c r="U42" s="242">
        <f>SUMIF('4.Team'!$E$4:$E$18,'2.Inst.'!$A42,'4.Team'!BY$4:BY$18)</f>
        <v>0</v>
      </c>
      <c r="V42" s="110"/>
      <c r="W42" s="110"/>
      <c r="X42" s="110"/>
      <c r="Y42" s="110"/>
      <c r="Z42" s="120"/>
      <c r="AA42" s="120"/>
      <c r="AB42" s="120"/>
      <c r="AC42" s="486"/>
      <c r="AD42" s="487"/>
    </row>
    <row r="43" spans="1:30" ht="15.75" hidden="1" thickBot="1">
      <c r="A43" s="53"/>
      <c r="B43" s="65">
        <f>SUM(B32:B42)</f>
        <v>0</v>
      </c>
      <c r="C43" s="66">
        <f t="shared" ref="C43:U43" si="0">SUM(C32:C42)</f>
        <v>0</v>
      </c>
      <c r="D43" s="66">
        <f t="shared" si="0"/>
        <v>0</v>
      </c>
      <c r="E43" s="66">
        <f t="shared" si="0"/>
        <v>0</v>
      </c>
      <c r="F43" s="66">
        <f t="shared" si="0"/>
        <v>0</v>
      </c>
      <c r="G43" s="66">
        <f t="shared" si="0"/>
        <v>0</v>
      </c>
      <c r="H43" s="66">
        <f t="shared" si="0"/>
        <v>0</v>
      </c>
      <c r="I43" s="66">
        <f t="shared" si="0"/>
        <v>0</v>
      </c>
      <c r="J43" s="66">
        <f t="shared" si="0"/>
        <v>0</v>
      </c>
      <c r="K43" s="66">
        <f t="shared" si="0"/>
        <v>0</v>
      </c>
      <c r="L43" s="243">
        <f t="shared" si="0"/>
        <v>0</v>
      </c>
      <c r="M43" s="289">
        <f t="shared" si="0"/>
        <v>0</v>
      </c>
      <c r="N43" s="244">
        <f t="shared" si="0"/>
        <v>0</v>
      </c>
      <c r="O43" s="244">
        <f t="shared" si="0"/>
        <v>0</v>
      </c>
      <c r="P43" s="244">
        <f t="shared" si="0"/>
        <v>0</v>
      </c>
      <c r="Q43" s="244">
        <f t="shared" si="0"/>
        <v>0</v>
      </c>
      <c r="R43" s="244">
        <f t="shared" si="0"/>
        <v>0</v>
      </c>
      <c r="S43" s="244">
        <f t="shared" si="0"/>
        <v>0</v>
      </c>
      <c r="T43" s="244">
        <f t="shared" si="0"/>
        <v>0</v>
      </c>
      <c r="U43" s="245">
        <f t="shared" si="0"/>
        <v>0</v>
      </c>
      <c r="V43" s="110"/>
      <c r="W43" s="110"/>
      <c r="X43" s="110"/>
      <c r="Y43" s="110"/>
      <c r="Z43" s="120"/>
      <c r="AA43" s="120"/>
      <c r="AB43" s="120"/>
      <c r="AC43" s="486"/>
      <c r="AD43" s="487"/>
    </row>
    <row r="44" spans="1:30" ht="15.75" hidden="1" thickBot="1">
      <c r="B44">
        <v>1</v>
      </c>
      <c r="C44">
        <v>2</v>
      </c>
      <c r="D44">
        <v>3</v>
      </c>
      <c r="E44">
        <v>4</v>
      </c>
      <c r="F44">
        <v>5</v>
      </c>
      <c r="G44">
        <v>6</v>
      </c>
      <c r="H44">
        <v>7</v>
      </c>
      <c r="I44">
        <v>8</v>
      </c>
      <c r="J44">
        <v>9</v>
      </c>
      <c r="K44">
        <v>10</v>
      </c>
      <c r="L44" s="110">
        <v>11</v>
      </c>
      <c r="M44" s="284"/>
      <c r="N44" s="110"/>
      <c r="O44" s="110"/>
      <c r="P44" s="110"/>
      <c r="Q44" s="110"/>
      <c r="R44" s="110"/>
      <c r="S44" s="110"/>
      <c r="T44" s="110"/>
      <c r="U44" s="110"/>
      <c r="V44" s="110"/>
      <c r="W44" s="110"/>
      <c r="X44" s="110"/>
      <c r="Y44" s="110"/>
      <c r="Z44" s="120"/>
      <c r="AA44" s="120"/>
      <c r="AB44" s="120"/>
      <c r="AC44" s="486"/>
      <c r="AD44" s="487"/>
    </row>
    <row r="45" spans="1:30" ht="15.75" hidden="1" thickBot="1">
      <c r="A45" s="47"/>
      <c r="B45" s="48" t="s">
        <v>0</v>
      </c>
      <c r="C45" s="49" t="s">
        <v>105</v>
      </c>
      <c r="D45" s="49" t="s">
        <v>106</v>
      </c>
      <c r="E45" s="49" t="s">
        <v>107</v>
      </c>
      <c r="F45" s="49" t="s">
        <v>108</v>
      </c>
      <c r="G45" s="49" t="s">
        <v>103</v>
      </c>
      <c r="H45" s="49" t="s">
        <v>102</v>
      </c>
      <c r="I45" s="49" t="s">
        <v>104</v>
      </c>
      <c r="J45" s="49" t="s">
        <v>101</v>
      </c>
      <c r="K45" s="49" t="s">
        <v>100</v>
      </c>
      <c r="L45" s="246" t="s">
        <v>99</v>
      </c>
      <c r="M45" s="284"/>
      <c r="N45" s="110"/>
      <c r="O45" s="110"/>
      <c r="P45" s="110"/>
      <c r="Q45" s="110"/>
      <c r="R45" s="110"/>
      <c r="S45" s="110"/>
      <c r="T45" s="110"/>
      <c r="U45" s="110"/>
      <c r="V45" s="110"/>
      <c r="W45" s="110"/>
      <c r="X45" s="110"/>
      <c r="Y45" s="110"/>
      <c r="Z45" s="120"/>
      <c r="AA45" s="120"/>
      <c r="AB45" s="120"/>
      <c r="AC45" s="486"/>
      <c r="AD45" s="487"/>
    </row>
    <row r="46" spans="1:30" hidden="1">
      <c r="A46" s="50" t="s">
        <v>18</v>
      </c>
      <c r="B46" s="23" t="str">
        <f t="shared" ref="B46:L55" si="1">IF((HLOOKUP($A46,$B$31:$V$42,B$44+1,FALSE))&gt;0,B$45,"")</f>
        <v/>
      </c>
      <c r="C46" s="23" t="str">
        <f>IF((HLOOKUP($A46,$B$31:$V$42,C$44+1,FALSE))&gt;0,C$45,"")</f>
        <v/>
      </c>
      <c r="D46" s="23" t="str">
        <f t="shared" si="1"/>
        <v/>
      </c>
      <c r="E46" s="23" t="str">
        <f t="shared" si="1"/>
        <v/>
      </c>
      <c r="F46" s="23" t="str">
        <f t="shared" si="1"/>
        <v/>
      </c>
      <c r="G46" s="23" t="str">
        <f t="shared" si="1"/>
        <v/>
      </c>
      <c r="H46" s="23" t="str">
        <f t="shared" si="1"/>
        <v/>
      </c>
      <c r="I46" s="23" t="str">
        <f t="shared" si="1"/>
        <v/>
      </c>
      <c r="J46" s="23" t="str">
        <f t="shared" si="1"/>
        <v/>
      </c>
      <c r="K46" s="23" t="str">
        <f t="shared" si="1"/>
        <v/>
      </c>
      <c r="L46" s="247" t="str">
        <f t="shared" si="1"/>
        <v/>
      </c>
      <c r="M46" s="284"/>
      <c r="N46" s="110"/>
      <c r="O46" s="110"/>
      <c r="P46" s="110"/>
      <c r="Q46" s="110"/>
      <c r="R46" s="110"/>
      <c r="S46" s="110"/>
      <c r="T46" s="110"/>
      <c r="U46" s="110"/>
      <c r="V46" s="110"/>
      <c r="W46" s="110"/>
      <c r="X46" s="110"/>
      <c r="Y46" s="110"/>
      <c r="Z46" s="120"/>
      <c r="AA46" s="120"/>
      <c r="AB46" s="120"/>
      <c r="AC46" s="486"/>
      <c r="AD46" s="487"/>
    </row>
    <row r="47" spans="1:30" hidden="1">
      <c r="A47" s="50" t="s">
        <v>19</v>
      </c>
      <c r="B47" s="23" t="str">
        <f t="shared" si="1"/>
        <v/>
      </c>
      <c r="C47" s="23" t="str">
        <f t="shared" si="1"/>
        <v/>
      </c>
      <c r="D47" s="23" t="str">
        <f t="shared" si="1"/>
        <v/>
      </c>
      <c r="E47" s="23" t="str">
        <f t="shared" si="1"/>
        <v/>
      </c>
      <c r="F47" s="23" t="str">
        <f t="shared" si="1"/>
        <v/>
      </c>
      <c r="G47" s="23" t="str">
        <f t="shared" si="1"/>
        <v/>
      </c>
      <c r="H47" s="23" t="str">
        <f t="shared" si="1"/>
        <v/>
      </c>
      <c r="I47" s="23" t="str">
        <f t="shared" si="1"/>
        <v/>
      </c>
      <c r="J47" s="23" t="str">
        <f t="shared" si="1"/>
        <v/>
      </c>
      <c r="K47" s="23" t="str">
        <f t="shared" si="1"/>
        <v/>
      </c>
      <c r="L47" s="247" t="str">
        <f t="shared" si="1"/>
        <v/>
      </c>
      <c r="M47" s="284"/>
      <c r="N47" s="110"/>
      <c r="O47" s="110"/>
      <c r="P47" s="110"/>
      <c r="Q47" s="110"/>
      <c r="R47" s="110"/>
      <c r="S47" s="110"/>
      <c r="T47" s="110"/>
      <c r="U47" s="110"/>
      <c r="V47" s="110"/>
      <c r="W47" s="110"/>
      <c r="X47" s="110"/>
      <c r="Y47" s="110"/>
      <c r="Z47" s="120"/>
      <c r="AA47" s="120"/>
      <c r="AB47" s="120"/>
      <c r="AC47" s="486"/>
      <c r="AD47" s="487"/>
    </row>
    <row r="48" spans="1:30" hidden="1">
      <c r="A48" s="50" t="s">
        <v>20</v>
      </c>
      <c r="B48" s="23" t="str">
        <f t="shared" si="1"/>
        <v/>
      </c>
      <c r="C48" s="23" t="str">
        <f t="shared" si="1"/>
        <v/>
      </c>
      <c r="D48" s="23" t="str">
        <f t="shared" si="1"/>
        <v/>
      </c>
      <c r="E48" s="23" t="str">
        <f t="shared" si="1"/>
        <v/>
      </c>
      <c r="F48" s="23" t="str">
        <f t="shared" si="1"/>
        <v/>
      </c>
      <c r="G48" s="23" t="str">
        <f t="shared" si="1"/>
        <v/>
      </c>
      <c r="H48" s="23" t="str">
        <f t="shared" si="1"/>
        <v/>
      </c>
      <c r="I48" s="23" t="str">
        <f t="shared" si="1"/>
        <v/>
      </c>
      <c r="J48" s="23" t="str">
        <f t="shared" si="1"/>
        <v/>
      </c>
      <c r="K48" s="23" t="str">
        <f t="shared" si="1"/>
        <v/>
      </c>
      <c r="L48" s="247" t="str">
        <f t="shared" si="1"/>
        <v/>
      </c>
      <c r="M48" s="284"/>
      <c r="N48" s="110"/>
      <c r="O48" s="110"/>
      <c r="P48" s="110"/>
      <c r="Q48" s="110"/>
      <c r="R48" s="110"/>
      <c r="S48" s="110"/>
      <c r="T48" s="110"/>
      <c r="U48" s="110"/>
      <c r="V48" s="110"/>
      <c r="W48" s="110"/>
      <c r="X48" s="110"/>
      <c r="Y48" s="110"/>
      <c r="Z48" s="120"/>
      <c r="AA48" s="120"/>
      <c r="AB48" s="120"/>
      <c r="AC48" s="486"/>
      <c r="AD48" s="487"/>
    </row>
    <row r="49" spans="1:30" hidden="1">
      <c r="A49" s="50" t="s">
        <v>21</v>
      </c>
      <c r="B49" s="23" t="str">
        <f t="shared" si="1"/>
        <v/>
      </c>
      <c r="C49" s="23" t="str">
        <f t="shared" si="1"/>
        <v/>
      </c>
      <c r="D49" s="23" t="str">
        <f t="shared" si="1"/>
        <v/>
      </c>
      <c r="E49" s="23" t="str">
        <f t="shared" si="1"/>
        <v/>
      </c>
      <c r="F49" s="23" t="str">
        <f t="shared" si="1"/>
        <v/>
      </c>
      <c r="G49" s="23" t="str">
        <f t="shared" si="1"/>
        <v/>
      </c>
      <c r="H49" s="23" t="str">
        <f t="shared" si="1"/>
        <v/>
      </c>
      <c r="I49" s="23" t="str">
        <f t="shared" si="1"/>
        <v/>
      </c>
      <c r="J49" s="23" t="str">
        <f t="shared" si="1"/>
        <v/>
      </c>
      <c r="K49" s="23" t="str">
        <f t="shared" si="1"/>
        <v/>
      </c>
      <c r="L49" s="247" t="str">
        <f t="shared" si="1"/>
        <v/>
      </c>
      <c r="M49" s="284"/>
      <c r="N49" s="110"/>
      <c r="O49" s="110"/>
      <c r="P49" s="110"/>
      <c r="Q49" s="110"/>
      <c r="R49" s="110"/>
      <c r="S49" s="110"/>
      <c r="T49" s="110"/>
      <c r="U49" s="110"/>
      <c r="V49" s="110"/>
      <c r="W49" s="110"/>
      <c r="X49" s="110"/>
      <c r="Y49" s="110"/>
      <c r="Z49" s="120"/>
      <c r="AA49" s="120"/>
      <c r="AB49" s="120"/>
      <c r="AC49" s="486"/>
      <c r="AD49" s="487"/>
    </row>
    <row r="50" spans="1:30" hidden="1">
      <c r="A50" s="50" t="s">
        <v>22</v>
      </c>
      <c r="B50" s="23" t="str">
        <f t="shared" si="1"/>
        <v/>
      </c>
      <c r="C50" s="23" t="str">
        <f t="shared" si="1"/>
        <v/>
      </c>
      <c r="D50" s="23" t="str">
        <f t="shared" si="1"/>
        <v/>
      </c>
      <c r="E50" s="23" t="str">
        <f t="shared" si="1"/>
        <v/>
      </c>
      <c r="F50" s="23" t="str">
        <f t="shared" si="1"/>
        <v/>
      </c>
      <c r="G50" s="23" t="str">
        <f t="shared" si="1"/>
        <v/>
      </c>
      <c r="H50" s="23" t="str">
        <f t="shared" si="1"/>
        <v/>
      </c>
      <c r="I50" s="23" t="str">
        <f t="shared" si="1"/>
        <v/>
      </c>
      <c r="J50" s="23" t="str">
        <f t="shared" si="1"/>
        <v/>
      </c>
      <c r="K50" s="23" t="str">
        <f t="shared" si="1"/>
        <v/>
      </c>
      <c r="L50" s="247" t="str">
        <f t="shared" si="1"/>
        <v/>
      </c>
      <c r="M50" s="284"/>
      <c r="N50" s="110"/>
      <c r="O50" s="110"/>
      <c r="P50" s="110"/>
      <c r="Q50" s="110"/>
      <c r="R50" s="110"/>
      <c r="S50" s="110"/>
      <c r="T50" s="110"/>
      <c r="U50" s="110"/>
      <c r="V50" s="110"/>
      <c r="W50" s="110"/>
      <c r="X50" s="110"/>
      <c r="Y50" s="110"/>
      <c r="Z50" s="120"/>
      <c r="AA50" s="120"/>
      <c r="AB50" s="120"/>
      <c r="AC50" s="486"/>
      <c r="AD50" s="487"/>
    </row>
    <row r="51" spans="1:30" hidden="1">
      <c r="A51" s="50" t="s">
        <v>23</v>
      </c>
      <c r="B51" s="23" t="str">
        <f t="shared" si="1"/>
        <v/>
      </c>
      <c r="C51" s="23" t="str">
        <f t="shared" si="1"/>
        <v/>
      </c>
      <c r="D51" s="23" t="str">
        <f t="shared" si="1"/>
        <v/>
      </c>
      <c r="E51" s="23" t="str">
        <f t="shared" si="1"/>
        <v/>
      </c>
      <c r="F51" s="23" t="str">
        <f t="shared" si="1"/>
        <v/>
      </c>
      <c r="G51" s="23" t="str">
        <f t="shared" si="1"/>
        <v/>
      </c>
      <c r="H51" s="23" t="str">
        <f t="shared" si="1"/>
        <v/>
      </c>
      <c r="I51" s="23" t="str">
        <f t="shared" si="1"/>
        <v/>
      </c>
      <c r="J51" s="23" t="str">
        <f t="shared" si="1"/>
        <v/>
      </c>
      <c r="K51" s="23" t="str">
        <f t="shared" si="1"/>
        <v/>
      </c>
      <c r="L51" s="247" t="str">
        <f t="shared" si="1"/>
        <v/>
      </c>
      <c r="M51" s="284"/>
      <c r="N51" s="110"/>
      <c r="O51" s="110"/>
      <c r="P51" s="110"/>
      <c r="Q51" s="110"/>
      <c r="R51" s="110"/>
      <c r="S51" s="110"/>
      <c r="T51" s="110"/>
      <c r="U51" s="110"/>
      <c r="V51" s="110"/>
      <c r="W51" s="110"/>
      <c r="X51" s="110"/>
      <c r="Y51" s="110"/>
      <c r="Z51" s="120"/>
      <c r="AA51" s="120"/>
      <c r="AB51" s="120"/>
      <c r="AC51" s="486"/>
      <c r="AD51" s="487"/>
    </row>
    <row r="52" spans="1:30" hidden="1">
      <c r="A52" s="50" t="s">
        <v>24</v>
      </c>
      <c r="B52" s="23" t="str">
        <f t="shared" si="1"/>
        <v/>
      </c>
      <c r="C52" s="23" t="str">
        <f t="shared" si="1"/>
        <v/>
      </c>
      <c r="D52" s="23" t="str">
        <f t="shared" si="1"/>
        <v/>
      </c>
      <c r="E52" s="23" t="str">
        <f t="shared" si="1"/>
        <v/>
      </c>
      <c r="F52" s="23" t="str">
        <f t="shared" si="1"/>
        <v/>
      </c>
      <c r="G52" s="23" t="str">
        <f t="shared" si="1"/>
        <v/>
      </c>
      <c r="H52" s="23" t="str">
        <f t="shared" si="1"/>
        <v/>
      </c>
      <c r="I52" s="23" t="str">
        <f t="shared" si="1"/>
        <v/>
      </c>
      <c r="J52" s="23" t="str">
        <f t="shared" si="1"/>
        <v/>
      </c>
      <c r="K52" s="23" t="str">
        <f t="shared" si="1"/>
        <v/>
      </c>
      <c r="L52" s="247" t="str">
        <f t="shared" si="1"/>
        <v/>
      </c>
      <c r="M52" s="284"/>
      <c r="N52" s="110"/>
      <c r="O52" s="110"/>
      <c r="P52" s="110"/>
      <c r="Q52" s="110"/>
      <c r="R52" s="110"/>
      <c r="S52" s="110"/>
      <c r="T52" s="110"/>
      <c r="U52" s="110"/>
      <c r="V52" s="110"/>
      <c r="W52" s="110"/>
      <c r="X52" s="110"/>
      <c r="Y52" s="110"/>
      <c r="Z52" s="120"/>
      <c r="AA52" s="120"/>
      <c r="AB52" s="120"/>
      <c r="AC52" s="486"/>
      <c r="AD52" s="487"/>
    </row>
    <row r="53" spans="1:30" hidden="1">
      <c r="A53" s="50" t="s">
        <v>25</v>
      </c>
      <c r="B53" s="23" t="str">
        <f t="shared" si="1"/>
        <v/>
      </c>
      <c r="C53" s="23" t="str">
        <f t="shared" si="1"/>
        <v/>
      </c>
      <c r="D53" s="23" t="str">
        <f t="shared" si="1"/>
        <v/>
      </c>
      <c r="E53" s="23" t="str">
        <f t="shared" si="1"/>
        <v/>
      </c>
      <c r="F53" s="23" t="str">
        <f t="shared" si="1"/>
        <v/>
      </c>
      <c r="G53" s="23" t="str">
        <f t="shared" si="1"/>
        <v/>
      </c>
      <c r="H53" s="23" t="str">
        <f t="shared" si="1"/>
        <v/>
      </c>
      <c r="I53" s="23" t="str">
        <f t="shared" si="1"/>
        <v/>
      </c>
      <c r="J53" s="23" t="str">
        <f t="shared" si="1"/>
        <v/>
      </c>
      <c r="K53" s="23" t="str">
        <f t="shared" si="1"/>
        <v/>
      </c>
      <c r="L53" s="247" t="str">
        <f t="shared" si="1"/>
        <v/>
      </c>
      <c r="M53" s="284"/>
      <c r="N53" s="110"/>
      <c r="O53" s="110"/>
      <c r="P53" s="110"/>
      <c r="Q53" s="110"/>
      <c r="R53" s="110"/>
      <c r="S53" s="110"/>
      <c r="T53" s="110"/>
      <c r="U53" s="110"/>
      <c r="V53" s="110"/>
      <c r="W53" s="110"/>
      <c r="X53" s="110"/>
      <c r="Y53" s="110"/>
      <c r="Z53" s="120"/>
      <c r="AA53" s="120"/>
      <c r="AB53" s="120"/>
      <c r="AC53" s="486"/>
      <c r="AD53" s="487"/>
    </row>
    <row r="54" spans="1:30" hidden="1">
      <c r="A54" s="50" t="s">
        <v>26</v>
      </c>
      <c r="B54" s="23" t="str">
        <f t="shared" si="1"/>
        <v/>
      </c>
      <c r="C54" s="23" t="str">
        <f t="shared" si="1"/>
        <v/>
      </c>
      <c r="D54" s="23" t="str">
        <f t="shared" si="1"/>
        <v/>
      </c>
      <c r="E54" s="23" t="str">
        <f t="shared" si="1"/>
        <v/>
      </c>
      <c r="F54" s="23" t="str">
        <f t="shared" si="1"/>
        <v/>
      </c>
      <c r="G54" s="23" t="str">
        <f t="shared" si="1"/>
        <v/>
      </c>
      <c r="H54" s="23" t="str">
        <f t="shared" si="1"/>
        <v/>
      </c>
      <c r="I54" s="23" t="str">
        <f t="shared" si="1"/>
        <v/>
      </c>
      <c r="J54" s="23" t="str">
        <f t="shared" si="1"/>
        <v/>
      </c>
      <c r="K54" s="23" t="str">
        <f t="shared" si="1"/>
        <v/>
      </c>
      <c r="L54" s="247" t="str">
        <f t="shared" si="1"/>
        <v/>
      </c>
      <c r="M54" s="284"/>
      <c r="N54" s="110"/>
      <c r="O54" s="110"/>
      <c r="P54" s="110"/>
      <c r="Q54" s="110"/>
      <c r="R54" s="110"/>
      <c r="S54" s="110"/>
      <c r="T54" s="110"/>
      <c r="U54" s="110"/>
      <c r="V54" s="110"/>
      <c r="W54" s="110"/>
      <c r="X54" s="110"/>
      <c r="Y54" s="110"/>
      <c r="Z54" s="120"/>
      <c r="AA54" s="120"/>
      <c r="AB54" s="120"/>
      <c r="AC54" s="486"/>
      <c r="AD54" s="487"/>
    </row>
    <row r="55" spans="1:30" hidden="1">
      <c r="A55" s="50" t="s">
        <v>27</v>
      </c>
      <c r="B55" s="23" t="str">
        <f t="shared" si="1"/>
        <v/>
      </c>
      <c r="C55" s="23" t="str">
        <f t="shared" si="1"/>
        <v/>
      </c>
      <c r="D55" s="23" t="str">
        <f t="shared" si="1"/>
        <v/>
      </c>
      <c r="E55" s="23" t="str">
        <f t="shared" si="1"/>
        <v/>
      </c>
      <c r="F55" s="23" t="str">
        <f t="shared" si="1"/>
        <v/>
      </c>
      <c r="G55" s="23" t="str">
        <f t="shared" si="1"/>
        <v/>
      </c>
      <c r="H55" s="23" t="str">
        <f t="shared" si="1"/>
        <v/>
      </c>
      <c r="I55" s="23" t="str">
        <f t="shared" si="1"/>
        <v/>
      </c>
      <c r="J55" s="23" t="str">
        <f t="shared" si="1"/>
        <v/>
      </c>
      <c r="K55" s="23" t="str">
        <f t="shared" si="1"/>
        <v/>
      </c>
      <c r="L55" s="247" t="str">
        <f t="shared" si="1"/>
        <v/>
      </c>
      <c r="M55" s="284"/>
      <c r="N55" s="110"/>
      <c r="O55" s="110"/>
      <c r="P55" s="110"/>
      <c r="Q55" s="110"/>
      <c r="R55" s="110"/>
      <c r="S55" s="110"/>
      <c r="T55" s="110"/>
      <c r="U55" s="110"/>
      <c r="V55" s="110"/>
      <c r="W55" s="110"/>
      <c r="X55" s="110"/>
      <c r="Y55" s="110"/>
      <c r="Z55" s="120"/>
      <c r="AA55" s="120"/>
      <c r="AB55" s="120"/>
      <c r="AC55" s="486"/>
      <c r="AD55" s="487"/>
    </row>
    <row r="56" spans="1:30" hidden="1">
      <c r="A56" s="50" t="s">
        <v>28</v>
      </c>
      <c r="B56" s="23" t="str">
        <f t="shared" ref="B56:L65" si="2">IF((HLOOKUP($A56,$B$31:$V$42,B$44+1,FALSE))&gt;0,B$45,"")</f>
        <v/>
      </c>
      <c r="C56" s="23" t="str">
        <f t="shared" si="2"/>
        <v/>
      </c>
      <c r="D56" s="23" t="str">
        <f t="shared" si="2"/>
        <v/>
      </c>
      <c r="E56" s="23" t="str">
        <f t="shared" si="2"/>
        <v/>
      </c>
      <c r="F56" s="23" t="str">
        <f t="shared" si="2"/>
        <v/>
      </c>
      <c r="G56" s="23" t="str">
        <f t="shared" si="2"/>
        <v/>
      </c>
      <c r="H56" s="23" t="str">
        <f t="shared" si="2"/>
        <v/>
      </c>
      <c r="I56" s="23" t="str">
        <f t="shared" si="2"/>
        <v/>
      </c>
      <c r="J56" s="23" t="str">
        <f t="shared" si="2"/>
        <v/>
      </c>
      <c r="K56" s="23" t="str">
        <f t="shared" si="2"/>
        <v/>
      </c>
      <c r="L56" s="247" t="str">
        <f t="shared" si="2"/>
        <v/>
      </c>
      <c r="M56" s="284"/>
      <c r="N56" s="110"/>
      <c r="O56" s="110"/>
      <c r="P56" s="110"/>
      <c r="Q56" s="110"/>
      <c r="R56" s="110"/>
      <c r="S56" s="110"/>
      <c r="T56" s="110"/>
      <c r="U56" s="110"/>
      <c r="V56" s="110"/>
      <c r="W56" s="110"/>
      <c r="X56" s="110"/>
      <c r="Y56" s="110"/>
      <c r="Z56" s="120"/>
      <c r="AA56" s="120"/>
      <c r="AB56" s="120"/>
      <c r="AC56" s="486"/>
      <c r="AD56" s="487"/>
    </row>
    <row r="57" spans="1:30" hidden="1">
      <c r="A57" s="50" t="s">
        <v>29</v>
      </c>
      <c r="B57" s="23" t="str">
        <f t="shared" si="2"/>
        <v/>
      </c>
      <c r="C57" s="23" t="str">
        <f t="shared" si="2"/>
        <v/>
      </c>
      <c r="D57" s="23" t="str">
        <f t="shared" si="2"/>
        <v/>
      </c>
      <c r="E57" s="23" t="str">
        <f t="shared" si="2"/>
        <v/>
      </c>
      <c r="F57" s="23" t="str">
        <f t="shared" si="2"/>
        <v/>
      </c>
      <c r="G57" s="23" t="str">
        <f t="shared" si="2"/>
        <v/>
      </c>
      <c r="H57" s="23" t="str">
        <f t="shared" si="2"/>
        <v/>
      </c>
      <c r="I57" s="23" t="str">
        <f t="shared" si="2"/>
        <v/>
      </c>
      <c r="J57" s="23" t="str">
        <f t="shared" si="2"/>
        <v/>
      </c>
      <c r="K57" s="23" t="str">
        <f t="shared" si="2"/>
        <v/>
      </c>
      <c r="L57" s="247" t="str">
        <f t="shared" si="2"/>
        <v/>
      </c>
      <c r="M57" s="284"/>
      <c r="N57" s="110"/>
      <c r="O57" s="110"/>
      <c r="P57" s="110"/>
      <c r="Q57" s="110"/>
      <c r="R57" s="110"/>
      <c r="S57" s="110"/>
      <c r="T57" s="110"/>
      <c r="U57" s="110"/>
      <c r="V57" s="110"/>
      <c r="W57" s="110"/>
      <c r="X57" s="110"/>
      <c r="Y57" s="110"/>
      <c r="Z57" s="120"/>
      <c r="AA57" s="120"/>
      <c r="AB57" s="120"/>
      <c r="AC57" s="486"/>
      <c r="AD57" s="487"/>
    </row>
    <row r="58" spans="1:30" hidden="1">
      <c r="A58" s="50" t="s">
        <v>30</v>
      </c>
      <c r="B58" s="23" t="str">
        <f t="shared" si="2"/>
        <v/>
      </c>
      <c r="C58" s="23" t="str">
        <f t="shared" si="2"/>
        <v/>
      </c>
      <c r="D58" s="23" t="str">
        <f t="shared" si="2"/>
        <v/>
      </c>
      <c r="E58" s="23" t="str">
        <f t="shared" si="2"/>
        <v/>
      </c>
      <c r="F58" s="23" t="str">
        <f t="shared" si="2"/>
        <v/>
      </c>
      <c r="G58" s="23" t="str">
        <f t="shared" si="2"/>
        <v/>
      </c>
      <c r="H58" s="23" t="str">
        <f t="shared" si="2"/>
        <v/>
      </c>
      <c r="I58" s="23" t="str">
        <f t="shared" si="2"/>
        <v/>
      </c>
      <c r="J58" s="23" t="str">
        <f t="shared" si="2"/>
        <v/>
      </c>
      <c r="K58" s="23" t="str">
        <f t="shared" si="2"/>
        <v/>
      </c>
      <c r="L58" s="247" t="str">
        <f t="shared" si="2"/>
        <v/>
      </c>
      <c r="M58" s="284"/>
      <c r="N58" s="110"/>
      <c r="O58" s="110"/>
      <c r="P58" s="110"/>
      <c r="Q58" s="110"/>
      <c r="R58" s="110"/>
      <c r="S58" s="110"/>
      <c r="T58" s="110"/>
      <c r="U58" s="110"/>
      <c r="V58" s="110"/>
      <c r="W58" s="110"/>
      <c r="X58" s="110"/>
      <c r="Y58" s="110"/>
      <c r="Z58" s="120"/>
      <c r="AA58" s="120"/>
      <c r="AB58" s="120"/>
      <c r="AC58" s="486"/>
      <c r="AD58" s="487"/>
    </row>
    <row r="59" spans="1:30" hidden="1">
      <c r="A59" s="50" t="s">
        <v>31</v>
      </c>
      <c r="B59" s="23" t="str">
        <f t="shared" si="2"/>
        <v/>
      </c>
      <c r="C59" s="23" t="str">
        <f t="shared" si="2"/>
        <v/>
      </c>
      <c r="D59" s="23" t="str">
        <f t="shared" si="2"/>
        <v/>
      </c>
      <c r="E59" s="23" t="str">
        <f t="shared" si="2"/>
        <v/>
      </c>
      <c r="F59" s="23" t="str">
        <f t="shared" si="2"/>
        <v/>
      </c>
      <c r="G59" s="23" t="str">
        <f t="shared" si="2"/>
        <v/>
      </c>
      <c r="H59" s="23" t="str">
        <f t="shared" si="2"/>
        <v/>
      </c>
      <c r="I59" s="23" t="str">
        <f t="shared" si="2"/>
        <v/>
      </c>
      <c r="J59" s="23" t="str">
        <f t="shared" si="2"/>
        <v/>
      </c>
      <c r="K59" s="23" t="str">
        <f t="shared" si="2"/>
        <v/>
      </c>
      <c r="L59" s="247" t="str">
        <f t="shared" si="2"/>
        <v/>
      </c>
      <c r="M59" s="284"/>
      <c r="N59" s="110"/>
      <c r="O59" s="110"/>
      <c r="P59" s="110"/>
      <c r="Q59" s="110"/>
      <c r="R59" s="110"/>
      <c r="S59" s="110"/>
      <c r="T59" s="110"/>
      <c r="U59" s="110"/>
      <c r="V59" s="110"/>
      <c r="W59" s="110"/>
      <c r="X59" s="110"/>
      <c r="Y59" s="110"/>
      <c r="Z59" s="120"/>
      <c r="AA59" s="120"/>
      <c r="AB59" s="120"/>
      <c r="AC59" s="486"/>
      <c r="AD59" s="487"/>
    </row>
    <row r="60" spans="1:30" hidden="1">
      <c r="A60" s="50" t="s">
        <v>32</v>
      </c>
      <c r="B60" s="23" t="str">
        <f t="shared" si="2"/>
        <v/>
      </c>
      <c r="C60" s="23" t="str">
        <f t="shared" si="2"/>
        <v/>
      </c>
      <c r="D60" s="23" t="str">
        <f t="shared" si="2"/>
        <v/>
      </c>
      <c r="E60" s="23" t="str">
        <f t="shared" si="2"/>
        <v/>
      </c>
      <c r="F60" s="23" t="str">
        <f t="shared" si="2"/>
        <v/>
      </c>
      <c r="G60" s="23" t="str">
        <f t="shared" si="2"/>
        <v/>
      </c>
      <c r="H60" s="23" t="str">
        <f t="shared" si="2"/>
        <v/>
      </c>
      <c r="I60" s="23" t="str">
        <f t="shared" si="2"/>
        <v/>
      </c>
      <c r="J60" s="23" t="str">
        <f t="shared" si="2"/>
        <v/>
      </c>
      <c r="K60" s="23" t="str">
        <f t="shared" si="2"/>
        <v/>
      </c>
      <c r="L60" s="247" t="str">
        <f t="shared" si="2"/>
        <v/>
      </c>
      <c r="M60" s="284"/>
      <c r="N60" s="110"/>
      <c r="O60" s="110"/>
      <c r="P60" s="110"/>
      <c r="Q60" s="110"/>
      <c r="R60" s="110"/>
      <c r="S60" s="110"/>
      <c r="T60" s="110"/>
      <c r="U60" s="110"/>
      <c r="V60" s="110"/>
      <c r="W60" s="110"/>
      <c r="X60" s="110"/>
      <c r="Y60" s="110"/>
      <c r="Z60" s="120"/>
      <c r="AA60" s="120"/>
      <c r="AB60" s="120"/>
      <c r="AC60" s="486"/>
      <c r="AD60" s="487"/>
    </row>
    <row r="61" spans="1:30" hidden="1">
      <c r="A61" s="50" t="s">
        <v>33</v>
      </c>
      <c r="B61" s="23" t="str">
        <f t="shared" si="2"/>
        <v/>
      </c>
      <c r="C61" s="23" t="str">
        <f t="shared" si="2"/>
        <v/>
      </c>
      <c r="D61" s="23" t="str">
        <f t="shared" si="2"/>
        <v/>
      </c>
      <c r="E61" s="23" t="str">
        <f t="shared" si="2"/>
        <v/>
      </c>
      <c r="F61" s="23" t="str">
        <f t="shared" si="2"/>
        <v/>
      </c>
      <c r="G61" s="23" t="str">
        <f t="shared" si="2"/>
        <v/>
      </c>
      <c r="H61" s="23" t="str">
        <f t="shared" si="2"/>
        <v/>
      </c>
      <c r="I61" s="23" t="str">
        <f t="shared" si="2"/>
        <v/>
      </c>
      <c r="J61" s="23" t="str">
        <f t="shared" si="2"/>
        <v/>
      </c>
      <c r="K61" s="23" t="str">
        <f t="shared" si="2"/>
        <v/>
      </c>
      <c r="L61" s="247" t="str">
        <f t="shared" si="2"/>
        <v/>
      </c>
      <c r="M61" s="284"/>
      <c r="N61" s="110"/>
      <c r="O61" s="110"/>
      <c r="P61" s="110"/>
      <c r="Q61" s="110"/>
      <c r="R61" s="110"/>
      <c r="S61" s="110"/>
      <c r="T61" s="110"/>
      <c r="U61" s="110"/>
      <c r="V61" s="110"/>
      <c r="W61" s="110"/>
      <c r="X61" s="110"/>
      <c r="Y61" s="110"/>
      <c r="Z61" s="120"/>
      <c r="AA61" s="120"/>
      <c r="AB61" s="120"/>
      <c r="AC61" s="486"/>
      <c r="AD61" s="487"/>
    </row>
    <row r="62" spans="1:30" hidden="1">
      <c r="A62" s="50" t="s">
        <v>34</v>
      </c>
      <c r="B62" s="23" t="str">
        <f t="shared" si="2"/>
        <v/>
      </c>
      <c r="C62" s="23" t="str">
        <f t="shared" si="2"/>
        <v/>
      </c>
      <c r="D62" s="23" t="str">
        <f t="shared" si="2"/>
        <v/>
      </c>
      <c r="E62" s="23" t="str">
        <f t="shared" si="2"/>
        <v/>
      </c>
      <c r="F62" s="23" t="str">
        <f t="shared" si="2"/>
        <v/>
      </c>
      <c r="G62" s="23" t="str">
        <f t="shared" si="2"/>
        <v/>
      </c>
      <c r="H62" s="23" t="str">
        <f t="shared" si="2"/>
        <v/>
      </c>
      <c r="I62" s="23" t="str">
        <f t="shared" si="2"/>
        <v/>
      </c>
      <c r="J62" s="23" t="str">
        <f t="shared" si="2"/>
        <v/>
      </c>
      <c r="K62" s="23" t="str">
        <f t="shared" si="2"/>
        <v/>
      </c>
      <c r="L62" s="247" t="str">
        <f t="shared" si="2"/>
        <v/>
      </c>
      <c r="M62" s="284"/>
      <c r="N62" s="110"/>
      <c r="O62" s="110"/>
      <c r="P62" s="110"/>
      <c r="Q62" s="110"/>
      <c r="R62" s="110"/>
      <c r="S62" s="110"/>
      <c r="T62" s="110"/>
      <c r="U62" s="110"/>
      <c r="V62" s="110"/>
      <c r="W62" s="110"/>
      <c r="X62" s="110"/>
      <c r="Y62" s="110"/>
      <c r="Z62" s="120"/>
      <c r="AA62" s="120"/>
      <c r="AB62" s="120"/>
      <c r="AC62" s="486"/>
      <c r="AD62" s="487"/>
    </row>
    <row r="63" spans="1:30" hidden="1">
      <c r="A63" s="50" t="s">
        <v>35</v>
      </c>
      <c r="B63" s="23" t="str">
        <f t="shared" si="2"/>
        <v/>
      </c>
      <c r="C63" s="23" t="str">
        <f t="shared" si="2"/>
        <v/>
      </c>
      <c r="D63" s="23" t="str">
        <f t="shared" si="2"/>
        <v/>
      </c>
      <c r="E63" s="23" t="str">
        <f t="shared" si="2"/>
        <v/>
      </c>
      <c r="F63" s="23" t="str">
        <f t="shared" si="2"/>
        <v/>
      </c>
      <c r="G63" s="23" t="str">
        <f t="shared" si="2"/>
        <v/>
      </c>
      <c r="H63" s="23" t="str">
        <f t="shared" si="2"/>
        <v/>
      </c>
      <c r="I63" s="23" t="str">
        <f t="shared" si="2"/>
        <v/>
      </c>
      <c r="J63" s="23" t="str">
        <f t="shared" si="2"/>
        <v/>
      </c>
      <c r="K63" s="23" t="str">
        <f t="shared" si="2"/>
        <v/>
      </c>
      <c r="L63" s="247" t="str">
        <f t="shared" si="2"/>
        <v/>
      </c>
      <c r="M63" s="284"/>
      <c r="N63" s="110"/>
      <c r="O63" s="110"/>
      <c r="P63" s="110"/>
      <c r="Q63" s="110"/>
      <c r="R63" s="110"/>
      <c r="S63" s="110"/>
      <c r="T63" s="110"/>
      <c r="U63" s="110"/>
      <c r="V63" s="110"/>
      <c r="W63" s="110"/>
      <c r="X63" s="110"/>
      <c r="Y63" s="110"/>
      <c r="Z63" s="120"/>
      <c r="AA63" s="120"/>
      <c r="AB63" s="120"/>
      <c r="AC63" s="486"/>
      <c r="AD63" s="487"/>
    </row>
    <row r="64" spans="1:30" hidden="1">
      <c r="A64" s="50" t="s">
        <v>36</v>
      </c>
      <c r="B64" s="23" t="str">
        <f t="shared" si="2"/>
        <v/>
      </c>
      <c r="C64" s="23" t="str">
        <f t="shared" si="2"/>
        <v/>
      </c>
      <c r="D64" s="23" t="str">
        <f t="shared" si="2"/>
        <v/>
      </c>
      <c r="E64" s="23" t="str">
        <f t="shared" si="2"/>
        <v/>
      </c>
      <c r="F64" s="23" t="str">
        <f t="shared" si="2"/>
        <v/>
      </c>
      <c r="G64" s="23" t="str">
        <f t="shared" si="2"/>
        <v/>
      </c>
      <c r="H64" s="23" t="str">
        <f t="shared" si="2"/>
        <v/>
      </c>
      <c r="I64" s="23" t="str">
        <f t="shared" si="2"/>
        <v/>
      </c>
      <c r="J64" s="23" t="str">
        <f t="shared" si="2"/>
        <v/>
      </c>
      <c r="K64" s="23" t="str">
        <f t="shared" si="2"/>
        <v/>
      </c>
      <c r="L64" s="247" t="str">
        <f t="shared" si="2"/>
        <v/>
      </c>
      <c r="M64" s="284"/>
      <c r="N64" s="110"/>
      <c r="O64" s="110"/>
      <c r="P64" s="110"/>
      <c r="Q64" s="110"/>
      <c r="R64" s="110"/>
      <c r="S64" s="110"/>
      <c r="T64" s="110"/>
      <c r="U64" s="110"/>
      <c r="V64" s="110"/>
      <c r="W64" s="110"/>
      <c r="X64" s="110"/>
      <c r="Y64" s="110"/>
      <c r="Z64" s="120"/>
      <c r="AA64" s="120"/>
      <c r="AB64" s="120"/>
      <c r="AC64" s="486"/>
      <c r="AD64" s="487"/>
    </row>
    <row r="65" spans="1:30" ht="15.75" hidden="1" thickBot="1">
      <c r="A65" s="51" t="s">
        <v>37</v>
      </c>
      <c r="B65" s="52" t="str">
        <f t="shared" si="2"/>
        <v/>
      </c>
      <c r="C65" s="52" t="str">
        <f t="shared" si="2"/>
        <v/>
      </c>
      <c r="D65" s="52" t="str">
        <f t="shared" si="2"/>
        <v/>
      </c>
      <c r="E65" s="52" t="str">
        <f t="shared" si="2"/>
        <v/>
      </c>
      <c r="F65" s="52" t="str">
        <f t="shared" si="2"/>
        <v/>
      </c>
      <c r="G65" s="52" t="str">
        <f t="shared" si="2"/>
        <v/>
      </c>
      <c r="H65" s="52" t="str">
        <f t="shared" si="2"/>
        <v/>
      </c>
      <c r="I65" s="52" t="str">
        <f t="shared" si="2"/>
        <v/>
      </c>
      <c r="J65" s="52" t="str">
        <f t="shared" si="2"/>
        <v/>
      </c>
      <c r="K65" s="52" t="str">
        <f t="shared" si="2"/>
        <v/>
      </c>
      <c r="L65" s="248" t="str">
        <f t="shared" si="2"/>
        <v/>
      </c>
      <c r="M65" s="284"/>
      <c r="N65" s="110"/>
      <c r="O65" s="110"/>
      <c r="P65" s="110"/>
      <c r="Q65" s="110"/>
      <c r="R65" s="110"/>
      <c r="S65" s="110"/>
      <c r="T65" s="110"/>
      <c r="U65" s="110"/>
      <c r="V65" s="110"/>
      <c r="W65" s="110"/>
      <c r="X65" s="110"/>
      <c r="Y65" s="110"/>
      <c r="Z65" s="120"/>
      <c r="AA65" s="120"/>
      <c r="AB65" s="120"/>
      <c r="AC65" s="486"/>
      <c r="AD65" s="487"/>
    </row>
    <row r="66" spans="1:30" hidden="1">
      <c r="L66" s="110"/>
      <c r="M66" s="284"/>
      <c r="N66" s="110"/>
      <c r="O66" s="110"/>
      <c r="P66" s="110"/>
      <c r="Q66" s="110"/>
      <c r="R66" s="110"/>
      <c r="S66" s="110"/>
      <c r="T66" s="110"/>
      <c r="U66" s="110"/>
      <c r="V66" s="110"/>
      <c r="W66" s="110"/>
      <c r="X66" s="110"/>
      <c r="Y66" s="110"/>
      <c r="Z66" s="120"/>
      <c r="AA66" s="120"/>
      <c r="AB66" s="120"/>
      <c r="AC66" s="486"/>
      <c r="AD66" s="487"/>
    </row>
    <row r="67" spans="1:30" hidden="1">
      <c r="L67" s="110"/>
      <c r="M67" s="284"/>
      <c r="N67" s="110"/>
      <c r="O67" s="110"/>
      <c r="P67" s="110"/>
      <c r="Q67" s="110"/>
      <c r="R67" s="110"/>
      <c r="S67" s="110"/>
      <c r="T67" s="110"/>
      <c r="U67" s="110"/>
      <c r="V67" s="110"/>
      <c r="W67" s="110"/>
      <c r="X67" s="110"/>
      <c r="Y67" s="110"/>
      <c r="Z67" s="120"/>
      <c r="AA67" s="120"/>
      <c r="AB67" s="120"/>
      <c r="AC67" s="486"/>
      <c r="AD67" s="487"/>
    </row>
    <row r="68" spans="1:30" hidden="1">
      <c r="L68" s="110"/>
      <c r="M68" s="284"/>
      <c r="N68" s="110"/>
      <c r="O68" s="110"/>
      <c r="P68" s="110"/>
      <c r="Q68" s="110"/>
      <c r="R68" s="110"/>
      <c r="S68" s="110"/>
      <c r="T68" s="110"/>
      <c r="U68" s="110"/>
      <c r="V68" s="110"/>
      <c r="W68" s="110"/>
      <c r="X68" s="110"/>
      <c r="Y68" s="110"/>
      <c r="Z68" s="120"/>
      <c r="AA68" s="120"/>
      <c r="AB68" s="120"/>
      <c r="AC68" s="486"/>
      <c r="AD68" s="487"/>
    </row>
    <row r="69" spans="1:30" ht="26.2" hidden="1">
      <c r="B69" s="678" t="s">
        <v>544</v>
      </c>
      <c r="C69" s="678"/>
      <c r="D69" s="678"/>
      <c r="G69" s="122" t="s">
        <v>280</v>
      </c>
      <c r="L69" s="110"/>
      <c r="M69" s="284"/>
      <c r="N69" s="110"/>
      <c r="O69" s="110"/>
      <c r="P69" s="110"/>
      <c r="Q69" s="110"/>
      <c r="R69" s="110"/>
      <c r="S69" s="110"/>
      <c r="T69" s="110"/>
      <c r="U69" s="110"/>
      <c r="V69" s="110"/>
      <c r="W69" s="110"/>
      <c r="X69" s="110"/>
      <c r="Y69" s="110"/>
      <c r="Z69" s="120"/>
      <c r="AA69" s="120"/>
      <c r="AB69" s="120"/>
      <c r="AC69" s="486"/>
      <c r="AD69" s="487"/>
    </row>
    <row r="70" spans="1:30" hidden="1">
      <c r="A70">
        <v>1</v>
      </c>
      <c r="B70" s="122" t="str">
        <f>+B3</f>
        <v/>
      </c>
      <c r="C70" s="122"/>
      <c r="D70" s="122" t="str">
        <f>B70</f>
        <v/>
      </c>
      <c r="G70" s="122" t="s">
        <v>278</v>
      </c>
      <c r="L70" s="110"/>
      <c r="M70" s="284"/>
      <c r="N70" s="110"/>
      <c r="O70" s="110"/>
      <c r="P70" s="110"/>
      <c r="Q70" s="110"/>
      <c r="R70" s="110"/>
      <c r="S70" s="110"/>
      <c r="T70" s="110"/>
      <c r="U70" s="110"/>
      <c r="V70" s="110"/>
      <c r="W70" s="110"/>
      <c r="X70" s="110"/>
      <c r="Y70" s="110"/>
      <c r="Z70" s="120"/>
      <c r="AA70" s="120"/>
      <c r="AB70" s="120"/>
      <c r="AC70" s="486"/>
      <c r="AD70" s="487"/>
    </row>
    <row r="71" spans="1:30" hidden="1">
      <c r="A71">
        <v>2</v>
      </c>
      <c r="B71" s="122">
        <f>+B9</f>
        <v>0</v>
      </c>
      <c r="C71" s="122" t="str">
        <f>+D9</f>
        <v>NA</v>
      </c>
      <c r="D71" s="122">
        <f>IF(B71=$G$69,0,IF(C71="",B71,IF(B71=$G$70,C71,B71)))</f>
        <v>0</v>
      </c>
      <c r="L71" s="110"/>
      <c r="M71" s="284"/>
      <c r="N71" s="110"/>
      <c r="O71" s="110"/>
      <c r="P71" s="110"/>
      <c r="Q71" s="110"/>
      <c r="R71" s="110"/>
      <c r="S71" s="110"/>
      <c r="T71" s="110"/>
      <c r="U71" s="110"/>
      <c r="V71" s="110"/>
      <c r="W71" s="110"/>
      <c r="X71" s="110"/>
      <c r="Y71" s="110"/>
      <c r="Z71" s="120"/>
      <c r="AA71" s="120"/>
      <c r="AB71" s="120"/>
      <c r="AC71" s="486"/>
      <c r="AD71" s="487"/>
    </row>
    <row r="72" spans="1:30" hidden="1">
      <c r="A72">
        <v>3</v>
      </c>
      <c r="B72" s="122">
        <f>+B11</f>
        <v>0</v>
      </c>
      <c r="C72" s="122" t="str">
        <f>+D11</f>
        <v>NA</v>
      </c>
      <c r="D72" s="122">
        <f t="shared" ref="D72:D80" si="3">IF(B72=$G$69,0,IF(C72="",B72,IF(B72=$G$70,C72,B72)))</f>
        <v>0</v>
      </c>
      <c r="L72" s="110"/>
      <c r="M72" s="284"/>
      <c r="N72" s="110"/>
      <c r="O72" s="110"/>
      <c r="P72" s="110"/>
      <c r="Q72" s="110"/>
      <c r="R72" s="110"/>
      <c r="S72" s="110"/>
      <c r="T72" s="110"/>
      <c r="U72" s="110"/>
      <c r="V72" s="110"/>
      <c r="W72" s="110"/>
      <c r="X72" s="110"/>
      <c r="Y72" s="110"/>
      <c r="Z72" s="120"/>
      <c r="AA72" s="120"/>
      <c r="AB72" s="120"/>
      <c r="AC72" s="486"/>
      <c r="AD72" s="487"/>
    </row>
    <row r="73" spans="1:30" hidden="1">
      <c r="A73">
        <v>4</v>
      </c>
      <c r="B73" s="122">
        <f>+B13</f>
        <v>0</v>
      </c>
      <c r="C73" s="122" t="str">
        <f>+D13</f>
        <v>NA</v>
      </c>
      <c r="D73" s="122">
        <f>IF(B73=$G$69,0,IF(C73="",B73,IF(B73=$G$70,C73,B73)))</f>
        <v>0</v>
      </c>
      <c r="L73" s="110"/>
      <c r="M73" s="284"/>
      <c r="N73" s="110"/>
      <c r="O73" s="110"/>
      <c r="P73" s="110"/>
      <c r="Q73" s="110"/>
      <c r="R73" s="110"/>
      <c r="S73" s="110"/>
      <c r="T73" s="110"/>
      <c r="U73" s="110"/>
      <c r="V73" s="110"/>
      <c r="W73" s="110"/>
      <c r="X73" s="110"/>
      <c r="Y73" s="110"/>
      <c r="Z73" s="120"/>
      <c r="AA73" s="120"/>
      <c r="AB73" s="120"/>
      <c r="AC73" s="486"/>
      <c r="AD73" s="487"/>
    </row>
    <row r="74" spans="1:30" hidden="1">
      <c r="A74">
        <v>5</v>
      </c>
      <c r="B74" s="122">
        <f>+B15</f>
        <v>0</v>
      </c>
      <c r="C74" s="122" t="str">
        <f>+D15</f>
        <v>NA</v>
      </c>
      <c r="D74" s="122">
        <f t="shared" si="3"/>
        <v>0</v>
      </c>
      <c r="L74" s="110"/>
      <c r="M74" s="284"/>
      <c r="N74" s="110"/>
      <c r="O74" s="110"/>
      <c r="P74" s="110"/>
      <c r="Q74" s="110"/>
      <c r="R74" s="110"/>
      <c r="S74" s="110"/>
      <c r="T74" s="110"/>
      <c r="U74" s="110"/>
      <c r="V74" s="110"/>
      <c r="W74" s="110"/>
      <c r="X74" s="110"/>
      <c r="Y74" s="110"/>
      <c r="Z74" s="120"/>
      <c r="AA74" s="120"/>
      <c r="AB74" s="120"/>
      <c r="AC74" s="486"/>
      <c r="AD74" s="487"/>
    </row>
    <row r="75" spans="1:30" hidden="1">
      <c r="A75">
        <v>6</v>
      </c>
      <c r="B75" s="122">
        <f>+B17</f>
        <v>0</v>
      </c>
      <c r="C75" s="122" t="str">
        <f>+D17</f>
        <v>NA</v>
      </c>
      <c r="D75" s="122">
        <f t="shared" si="3"/>
        <v>0</v>
      </c>
      <c r="L75" s="110"/>
      <c r="M75" s="284"/>
      <c r="N75" s="110"/>
      <c r="O75" s="110"/>
      <c r="P75" s="110"/>
      <c r="Q75" s="110"/>
      <c r="R75" s="110"/>
      <c r="S75" s="110"/>
      <c r="T75" s="110"/>
      <c r="U75" s="110"/>
      <c r="V75" s="110"/>
      <c r="W75" s="110"/>
      <c r="X75" s="110"/>
      <c r="Y75" s="110"/>
      <c r="Z75" s="120"/>
      <c r="AA75" s="120"/>
      <c r="AB75" s="120"/>
      <c r="AC75" s="486"/>
      <c r="AD75" s="487"/>
    </row>
    <row r="76" spans="1:30" hidden="1">
      <c r="A76">
        <v>7</v>
      </c>
      <c r="B76" s="122">
        <f>+B19</f>
        <v>0</v>
      </c>
      <c r="C76" s="122" t="str">
        <f>+D19</f>
        <v>NA</v>
      </c>
      <c r="D76" s="122">
        <f t="shared" si="3"/>
        <v>0</v>
      </c>
      <c r="L76" s="110"/>
      <c r="M76" s="284"/>
      <c r="N76" s="110"/>
      <c r="O76" s="110"/>
      <c r="P76" s="110"/>
      <c r="Q76" s="110"/>
      <c r="R76" s="110"/>
      <c r="S76" s="110"/>
      <c r="T76" s="110"/>
      <c r="U76" s="110"/>
      <c r="V76" s="110"/>
      <c r="W76" s="110"/>
      <c r="X76" s="110"/>
      <c r="Y76" s="110"/>
      <c r="Z76" s="120"/>
      <c r="AA76" s="120"/>
      <c r="AB76" s="120"/>
      <c r="AC76" s="486"/>
      <c r="AD76" s="487"/>
    </row>
    <row r="77" spans="1:30" hidden="1">
      <c r="A77">
        <v>8</v>
      </c>
      <c r="B77" s="122">
        <f>+B21</f>
        <v>0</v>
      </c>
      <c r="C77" s="122" t="str">
        <f>+D21</f>
        <v>NA</v>
      </c>
      <c r="D77" s="122">
        <f t="shared" si="3"/>
        <v>0</v>
      </c>
      <c r="L77" s="110"/>
      <c r="M77" s="284"/>
      <c r="N77" s="110"/>
      <c r="O77" s="110"/>
      <c r="P77" s="110"/>
      <c r="Q77" s="110"/>
      <c r="R77" s="110"/>
      <c r="S77" s="110"/>
      <c r="T77" s="110"/>
      <c r="U77" s="110"/>
      <c r="V77" s="110"/>
      <c r="W77" s="110"/>
      <c r="X77" s="110"/>
      <c r="Y77" s="110"/>
      <c r="Z77" s="120"/>
      <c r="AA77" s="120"/>
      <c r="AB77" s="120"/>
      <c r="AC77" s="486"/>
      <c r="AD77" s="487"/>
    </row>
    <row r="78" spans="1:30" hidden="1">
      <c r="A78">
        <v>9</v>
      </c>
      <c r="B78" s="122">
        <f>+B23</f>
        <v>0</v>
      </c>
      <c r="C78" s="122" t="str">
        <f>+D23</f>
        <v>NA</v>
      </c>
      <c r="D78" s="122">
        <f t="shared" si="3"/>
        <v>0</v>
      </c>
      <c r="L78" s="110"/>
      <c r="M78" s="284"/>
      <c r="N78" s="110"/>
      <c r="O78" s="110"/>
      <c r="P78" s="110"/>
      <c r="Q78" s="110"/>
      <c r="R78" s="110"/>
      <c r="S78" s="110"/>
      <c r="T78" s="110"/>
      <c r="U78" s="110"/>
      <c r="V78" s="110"/>
      <c r="W78" s="110"/>
      <c r="X78" s="110"/>
      <c r="Y78" s="110"/>
      <c r="Z78" s="120"/>
      <c r="AA78" s="120"/>
      <c r="AB78" s="120"/>
      <c r="AC78" s="486"/>
      <c r="AD78" s="487"/>
    </row>
    <row r="79" spans="1:30" hidden="1">
      <c r="A79">
        <v>10</v>
      </c>
      <c r="B79" s="122">
        <f>+B25</f>
        <v>0</v>
      </c>
      <c r="C79" s="122" t="str">
        <f>+D25</f>
        <v>NA</v>
      </c>
      <c r="D79" s="122">
        <f t="shared" si="3"/>
        <v>0</v>
      </c>
      <c r="L79" s="110"/>
      <c r="M79" s="284"/>
      <c r="N79" s="110"/>
      <c r="O79" s="110"/>
      <c r="P79" s="110"/>
      <c r="Q79" s="110"/>
      <c r="R79" s="110"/>
      <c r="S79" s="110"/>
      <c r="T79" s="110"/>
      <c r="U79" s="110"/>
      <c r="V79" s="110"/>
      <c r="W79" s="110"/>
      <c r="X79" s="110"/>
      <c r="Y79" s="110"/>
      <c r="Z79" s="120"/>
      <c r="AA79" s="120"/>
      <c r="AB79" s="120"/>
      <c r="AC79" s="486"/>
      <c r="AD79" s="487"/>
    </row>
    <row r="80" spans="1:30" hidden="1">
      <c r="A80">
        <v>11</v>
      </c>
      <c r="B80" s="122">
        <f>+B27</f>
        <v>0</v>
      </c>
      <c r="C80" s="122" t="str">
        <f>+D27</f>
        <v>NA</v>
      </c>
      <c r="D80" s="122">
        <f t="shared" si="3"/>
        <v>0</v>
      </c>
      <c r="L80" s="110"/>
      <c r="M80" s="284"/>
      <c r="N80" s="110"/>
      <c r="O80" s="110"/>
      <c r="P80" s="110"/>
      <c r="Q80" s="110"/>
      <c r="R80" s="110"/>
      <c r="S80" s="110"/>
      <c r="T80" s="110"/>
      <c r="U80" s="110"/>
      <c r="V80" s="110"/>
      <c r="W80" s="110"/>
      <c r="X80" s="110"/>
      <c r="Y80" s="110"/>
      <c r="Z80" s="120"/>
      <c r="AA80" s="120"/>
      <c r="AB80" s="120"/>
      <c r="AC80" s="486"/>
      <c r="AD80" s="487"/>
    </row>
    <row r="81" spans="1:30">
      <c r="L81" s="110"/>
      <c r="M81" s="284"/>
      <c r="N81" s="110"/>
      <c r="O81" s="110"/>
      <c r="P81" s="110"/>
      <c r="Q81" s="110"/>
      <c r="R81" s="110"/>
      <c r="S81" s="110"/>
      <c r="T81" s="110"/>
      <c r="U81" s="110"/>
      <c r="V81" s="110"/>
      <c r="W81" s="110"/>
      <c r="X81" s="110"/>
      <c r="Y81" s="110"/>
      <c r="Z81" s="120"/>
      <c r="AA81" s="120"/>
      <c r="AB81" s="120"/>
      <c r="AC81" s="486"/>
      <c r="AD81" s="487"/>
    </row>
    <row r="82" spans="1:30">
      <c r="A82" s="521" t="s">
        <v>97</v>
      </c>
      <c r="L82" s="110"/>
      <c r="M82" s="284"/>
      <c r="N82" s="110"/>
      <c r="O82" s="110"/>
      <c r="P82" s="110"/>
      <c r="Q82" s="110"/>
      <c r="R82" s="110"/>
      <c r="S82" s="110"/>
      <c r="T82" s="110"/>
      <c r="U82" s="110"/>
      <c r="V82" s="110"/>
      <c r="W82" s="110"/>
      <c r="X82" s="110"/>
      <c r="Y82" s="110"/>
      <c r="Z82" s="120"/>
      <c r="AA82" s="120"/>
      <c r="AB82" s="120"/>
      <c r="AC82" s="120"/>
      <c r="AD82" s="110"/>
    </row>
    <row r="83" spans="1:30">
      <c r="A83" s="522" t="str">
        <f>+Info!B1</f>
        <v>Ficheiro Apoio_LUMP SUM_V2026.02.24</v>
      </c>
      <c r="L83" s="110"/>
      <c r="M83" s="284"/>
      <c r="N83" s="110"/>
      <c r="O83" s="110"/>
      <c r="P83" s="110"/>
      <c r="Q83" s="110"/>
      <c r="R83" s="110"/>
      <c r="S83" s="110"/>
      <c r="T83" s="110"/>
      <c r="U83" s="110"/>
      <c r="V83" s="110"/>
      <c r="W83" s="110"/>
      <c r="X83" s="110"/>
      <c r="Y83" s="110"/>
      <c r="Z83" s="120"/>
      <c r="AA83" s="120"/>
      <c r="AB83" s="120"/>
      <c r="AC83" s="120"/>
      <c r="AD83" s="110"/>
    </row>
    <row r="84" spans="1:30">
      <c r="L84" s="110"/>
      <c r="M84" s="284"/>
      <c r="N84" s="110"/>
      <c r="O84" s="110"/>
      <c r="P84" s="110"/>
      <c r="Q84" s="110"/>
      <c r="R84" s="110"/>
      <c r="S84" s="110"/>
      <c r="T84" s="110"/>
      <c r="U84" s="110"/>
      <c r="V84" s="110"/>
      <c r="W84" s="110"/>
      <c r="X84" s="110"/>
      <c r="Y84" s="110"/>
      <c r="Z84" s="120"/>
      <c r="AA84" s="120"/>
      <c r="AB84" s="120"/>
      <c r="AC84" s="120"/>
      <c r="AD84" s="110"/>
    </row>
    <row r="85" spans="1:30">
      <c r="L85" s="110"/>
      <c r="M85" s="284"/>
      <c r="N85" s="110"/>
      <c r="O85" s="110"/>
      <c r="P85" s="110"/>
      <c r="Q85" s="110"/>
      <c r="R85" s="110"/>
      <c r="S85" s="110"/>
      <c r="T85" s="110"/>
      <c r="U85" s="110"/>
      <c r="V85" s="110"/>
      <c r="W85" s="110"/>
      <c r="X85" s="110"/>
      <c r="Y85" s="110"/>
      <c r="Z85" s="120"/>
      <c r="AA85" s="120"/>
      <c r="AB85" s="120"/>
      <c r="AC85" s="120"/>
      <c r="AD85" s="110"/>
    </row>
    <row r="86" spans="1:30">
      <c r="L86" s="110"/>
      <c r="M86" s="284"/>
      <c r="N86" s="110"/>
      <c r="O86" s="110"/>
      <c r="P86" s="110"/>
      <c r="Q86" s="110"/>
      <c r="R86" s="110"/>
      <c r="S86" s="110"/>
      <c r="T86" s="110"/>
      <c r="U86" s="110"/>
      <c r="V86" s="110"/>
      <c r="W86" s="110"/>
      <c r="X86" s="110"/>
      <c r="Y86" s="110"/>
      <c r="Z86" s="120"/>
      <c r="AA86" s="120"/>
      <c r="AB86" s="120"/>
      <c r="AC86" s="120"/>
      <c r="AD86" s="110"/>
    </row>
    <row r="87" spans="1:30">
      <c r="L87" s="110"/>
      <c r="M87" s="284"/>
      <c r="N87" s="110"/>
      <c r="O87" s="110"/>
      <c r="P87" s="110"/>
      <c r="Q87" s="110"/>
      <c r="R87" s="110"/>
      <c r="S87" s="110"/>
      <c r="T87" s="110"/>
      <c r="U87" s="110"/>
      <c r="V87" s="110"/>
      <c r="W87" s="110"/>
      <c r="X87" s="110"/>
      <c r="Y87" s="110"/>
      <c r="Z87" s="120"/>
      <c r="AA87" s="120"/>
      <c r="AB87" s="120"/>
      <c r="AC87" s="120"/>
      <c r="AD87" s="110"/>
    </row>
    <row r="88" spans="1:30">
      <c r="L88" s="110"/>
      <c r="M88" s="284"/>
      <c r="N88" s="110"/>
      <c r="O88" s="110"/>
      <c r="P88" s="110"/>
      <c r="Q88" s="110"/>
      <c r="R88" s="110"/>
      <c r="S88" s="110"/>
      <c r="T88" s="110"/>
      <c r="U88" s="110"/>
      <c r="V88" s="110"/>
      <c r="W88" s="110"/>
      <c r="X88" s="110"/>
      <c r="Y88" s="110"/>
      <c r="Z88" s="120"/>
      <c r="AA88" s="120"/>
      <c r="AB88" s="120"/>
      <c r="AC88" s="120"/>
      <c r="AD88" s="110"/>
    </row>
    <row r="89" spans="1:30">
      <c r="L89" s="110"/>
      <c r="M89" s="284"/>
      <c r="N89" s="110"/>
      <c r="O89" s="110"/>
      <c r="P89" s="110"/>
      <c r="Q89" s="110"/>
      <c r="R89" s="110"/>
      <c r="S89" s="110"/>
      <c r="T89" s="110"/>
      <c r="U89" s="110"/>
      <c r="V89" s="110"/>
      <c r="W89" s="110"/>
      <c r="X89" s="110"/>
      <c r="Y89" s="110"/>
      <c r="Z89" s="120"/>
      <c r="AA89" s="120"/>
      <c r="AB89" s="120"/>
      <c r="AC89" s="120"/>
      <c r="AD89" s="110"/>
    </row>
    <row r="90" spans="1:30">
      <c r="L90" s="110"/>
      <c r="M90" s="284"/>
      <c r="N90" s="110"/>
      <c r="O90" s="110"/>
      <c r="P90" s="110"/>
      <c r="Q90" s="110"/>
      <c r="R90" s="110"/>
      <c r="S90" s="110"/>
      <c r="T90" s="110"/>
      <c r="U90" s="110"/>
      <c r="V90" s="110"/>
      <c r="W90" s="110"/>
      <c r="X90" s="110"/>
      <c r="Y90" s="110"/>
      <c r="Z90" s="120"/>
      <c r="AA90" s="120"/>
      <c r="AB90" s="120"/>
      <c r="AC90" s="120"/>
      <c r="AD90" s="110"/>
    </row>
    <row r="91" spans="1:30">
      <c r="L91" s="110"/>
      <c r="M91" s="284"/>
      <c r="N91" s="110"/>
      <c r="O91" s="110"/>
      <c r="P91" s="110"/>
      <c r="Q91" s="110"/>
      <c r="R91" s="110"/>
      <c r="S91" s="110"/>
      <c r="T91" s="110"/>
      <c r="U91" s="110"/>
      <c r="V91" s="110"/>
      <c r="W91" s="110"/>
      <c r="X91" s="110"/>
      <c r="Y91" s="110"/>
      <c r="Z91" s="120"/>
      <c r="AA91" s="120"/>
      <c r="AB91" s="120"/>
      <c r="AC91" s="120"/>
      <c r="AD91" s="110"/>
    </row>
    <row r="92" spans="1:30">
      <c r="L92" s="110"/>
      <c r="M92" s="284"/>
      <c r="N92" s="110"/>
      <c r="O92" s="110"/>
      <c r="P92" s="110"/>
      <c r="Q92" s="110"/>
      <c r="R92" s="110"/>
      <c r="S92" s="110"/>
      <c r="T92" s="110"/>
      <c r="U92" s="110"/>
      <c r="V92" s="110"/>
      <c r="W92" s="110"/>
      <c r="X92" s="110"/>
      <c r="Y92" s="110"/>
      <c r="Z92" s="120"/>
      <c r="AA92" s="120"/>
      <c r="AB92" s="120"/>
      <c r="AC92" s="120"/>
      <c r="AD92" s="110"/>
    </row>
    <row r="93" spans="1:30" s="110" customFormat="1">
      <c r="M93" s="284"/>
      <c r="Z93" s="120"/>
      <c r="AA93" s="120"/>
      <c r="AB93" s="120"/>
      <c r="AC93" s="120"/>
    </row>
    <row r="94" spans="1:30" s="110" customFormat="1">
      <c r="M94" s="284"/>
      <c r="Z94" s="120"/>
      <c r="AA94" s="120"/>
      <c r="AB94" s="120"/>
      <c r="AC94" s="120"/>
    </row>
    <row r="95" spans="1:30" s="110" customFormat="1">
      <c r="M95" s="284"/>
      <c r="Z95" s="120"/>
      <c r="AA95" s="120"/>
      <c r="AB95" s="120"/>
      <c r="AC95" s="120"/>
    </row>
    <row r="96" spans="1:30" s="110" customFormat="1">
      <c r="M96" s="284"/>
      <c r="Z96" s="120"/>
      <c r="AA96" s="120"/>
      <c r="AB96" s="120"/>
      <c r="AC96" s="120"/>
    </row>
    <row r="97" spans="13:29" s="110" customFormat="1">
      <c r="M97" s="284"/>
      <c r="Z97" s="120"/>
      <c r="AA97" s="120"/>
      <c r="AB97" s="120"/>
      <c r="AC97" s="120"/>
    </row>
    <row r="98" spans="13:29" s="110" customFormat="1">
      <c r="M98" s="284"/>
      <c r="Z98" s="120"/>
      <c r="AA98" s="120"/>
      <c r="AB98" s="120"/>
      <c r="AC98" s="120"/>
    </row>
    <row r="99" spans="13:29" s="110" customFormat="1">
      <c r="M99" s="284"/>
      <c r="Z99" s="120"/>
      <c r="AA99" s="120"/>
      <c r="AB99" s="120"/>
      <c r="AC99" s="120"/>
    </row>
    <row r="100" spans="13:29" s="110" customFormat="1">
      <c r="M100" s="284"/>
      <c r="Z100" s="120"/>
      <c r="AA100" s="120"/>
      <c r="AB100" s="120"/>
      <c r="AC100" s="120"/>
    </row>
    <row r="101" spans="13:29" s="110" customFormat="1">
      <c r="M101" s="284"/>
      <c r="Z101" s="120"/>
      <c r="AA101" s="120"/>
      <c r="AB101" s="120"/>
      <c r="AC101" s="120"/>
    </row>
    <row r="102" spans="13:29" s="110" customFormat="1">
      <c r="M102" s="284"/>
      <c r="Z102" s="120"/>
      <c r="AA102" s="120"/>
      <c r="AB102" s="120"/>
      <c r="AC102" s="120"/>
    </row>
    <row r="103" spans="13:29" s="110" customFormat="1">
      <c r="M103" s="284"/>
      <c r="Z103" s="120"/>
      <c r="AA103" s="120"/>
      <c r="AB103" s="120"/>
      <c r="AC103" s="120"/>
    </row>
    <row r="104" spans="13:29" s="110" customFormat="1">
      <c r="M104" s="284"/>
      <c r="Z104" s="120"/>
      <c r="AA104" s="120"/>
      <c r="AB104" s="120"/>
      <c r="AC104" s="120"/>
    </row>
    <row r="105" spans="13:29" s="110" customFormat="1">
      <c r="M105" s="284"/>
      <c r="Z105" s="120"/>
      <c r="AA105" s="120"/>
      <c r="AB105" s="120"/>
      <c r="AC105" s="120"/>
    </row>
    <row r="106" spans="13:29" s="110" customFormat="1">
      <c r="M106" s="284"/>
      <c r="Z106" s="120"/>
      <c r="AA106" s="120"/>
      <c r="AB106" s="120"/>
      <c r="AC106" s="120"/>
    </row>
    <row r="107" spans="13:29" s="110" customFormat="1">
      <c r="M107" s="284"/>
      <c r="Z107" s="120"/>
      <c r="AA107" s="120"/>
      <c r="AB107" s="120"/>
      <c r="AC107" s="120"/>
    </row>
    <row r="108" spans="13:29" s="110" customFormat="1">
      <c r="M108" s="284"/>
      <c r="Z108" s="120"/>
      <c r="AA108" s="120"/>
      <c r="AB108" s="120"/>
      <c r="AC108" s="120"/>
    </row>
    <row r="109" spans="13:29" s="110" customFormat="1">
      <c r="M109" s="284"/>
      <c r="Z109" s="120"/>
      <c r="AA109" s="120"/>
      <c r="AB109" s="120"/>
      <c r="AC109" s="120"/>
    </row>
    <row r="110" spans="13:29" s="110" customFormat="1">
      <c r="M110" s="284"/>
      <c r="Z110" s="120"/>
      <c r="AA110" s="120"/>
      <c r="AB110" s="120"/>
      <c r="AC110" s="120"/>
    </row>
    <row r="111" spans="13:29" s="110" customFormat="1">
      <c r="M111" s="284"/>
      <c r="Z111" s="120"/>
      <c r="AA111" s="120"/>
      <c r="AB111" s="120"/>
      <c r="AC111" s="120"/>
    </row>
    <row r="112" spans="13:29" s="110" customFormat="1">
      <c r="M112" s="284"/>
      <c r="Z112" s="120"/>
      <c r="AA112" s="120"/>
      <c r="AB112" s="120"/>
      <c r="AC112" s="120"/>
    </row>
    <row r="113" spans="13:29" s="110" customFormat="1">
      <c r="M113" s="284"/>
      <c r="Z113" s="120"/>
      <c r="AA113" s="120"/>
      <c r="AB113" s="120"/>
      <c r="AC113" s="120"/>
    </row>
    <row r="114" spans="13:29" s="110" customFormat="1">
      <c r="M114" s="284"/>
      <c r="Z114" s="120"/>
      <c r="AA114" s="120"/>
      <c r="AB114" s="120"/>
      <c r="AC114" s="120"/>
    </row>
    <row r="115" spans="13:29" s="110" customFormat="1">
      <c r="M115" s="284"/>
      <c r="Z115" s="120"/>
      <c r="AA115" s="120"/>
      <c r="AB115" s="120"/>
      <c r="AC115" s="120"/>
    </row>
    <row r="116" spans="13:29" s="110" customFormat="1">
      <c r="M116" s="284"/>
      <c r="Z116" s="120"/>
      <c r="AA116" s="120"/>
      <c r="AB116" s="120"/>
      <c r="AC116" s="120"/>
    </row>
    <row r="117" spans="13:29" s="110" customFormat="1">
      <c r="M117" s="284"/>
      <c r="Z117" s="120"/>
      <c r="AA117" s="120"/>
      <c r="AB117" s="120"/>
      <c r="AC117" s="120"/>
    </row>
    <row r="118" spans="13:29" s="110" customFormat="1">
      <c r="M118" s="284"/>
      <c r="Z118" s="120"/>
      <c r="AA118" s="120"/>
      <c r="AB118" s="120"/>
      <c r="AC118" s="120"/>
    </row>
    <row r="119" spans="13:29" s="110" customFormat="1">
      <c r="M119" s="284"/>
      <c r="Z119" s="120"/>
      <c r="AA119" s="120"/>
      <c r="AB119" s="120"/>
      <c r="AC119" s="120"/>
    </row>
    <row r="120" spans="13:29" s="110" customFormat="1">
      <c r="M120" s="284"/>
      <c r="Z120" s="120"/>
      <c r="AA120" s="120"/>
      <c r="AB120" s="120"/>
      <c r="AC120" s="120"/>
    </row>
    <row r="121" spans="13:29" s="110" customFormat="1">
      <c r="M121" s="284"/>
      <c r="Z121" s="120"/>
      <c r="AA121" s="120"/>
      <c r="AB121" s="120"/>
      <c r="AC121" s="120"/>
    </row>
    <row r="122" spans="13:29" s="110" customFormat="1">
      <c r="M122" s="284"/>
      <c r="Z122" s="120"/>
      <c r="AA122" s="120"/>
      <c r="AB122" s="120"/>
      <c r="AC122" s="120"/>
    </row>
    <row r="123" spans="13:29" s="110" customFormat="1">
      <c r="M123" s="284"/>
      <c r="Z123" s="120"/>
      <c r="AA123" s="120"/>
      <c r="AB123" s="120"/>
      <c r="AC123" s="120"/>
    </row>
    <row r="124" spans="13:29" s="110" customFormat="1">
      <c r="M124" s="284"/>
      <c r="Z124" s="120"/>
      <c r="AA124" s="120"/>
      <c r="AB124" s="120"/>
      <c r="AC124" s="120"/>
    </row>
    <row r="125" spans="13:29" s="110" customFormat="1">
      <c r="M125" s="284"/>
      <c r="Z125" s="120"/>
      <c r="AA125" s="120"/>
      <c r="AB125" s="120"/>
      <c r="AC125" s="120"/>
    </row>
    <row r="126" spans="13:29" s="110" customFormat="1">
      <c r="M126" s="284"/>
      <c r="Z126" s="120"/>
      <c r="AA126" s="120"/>
      <c r="AB126" s="120"/>
      <c r="AC126" s="120"/>
    </row>
    <row r="127" spans="13:29" s="110" customFormat="1">
      <c r="M127" s="284"/>
      <c r="Z127" s="120"/>
      <c r="AA127" s="120"/>
      <c r="AB127" s="120"/>
      <c r="AC127" s="120"/>
    </row>
    <row r="128" spans="13:29" s="110" customFormat="1">
      <c r="M128" s="284"/>
      <c r="Z128" s="120"/>
      <c r="AA128" s="120"/>
      <c r="AB128" s="120"/>
      <c r="AC128" s="120"/>
    </row>
    <row r="129" spans="13:29" s="110" customFormat="1">
      <c r="M129" s="284"/>
      <c r="Z129" s="120"/>
      <c r="AA129" s="120"/>
      <c r="AB129" s="120"/>
      <c r="AC129" s="120"/>
    </row>
    <row r="130" spans="13:29" s="110" customFormat="1">
      <c r="M130" s="284"/>
      <c r="Z130" s="120"/>
      <c r="AA130" s="120"/>
      <c r="AB130" s="120"/>
      <c r="AC130" s="120"/>
    </row>
    <row r="131" spans="13:29" s="110" customFormat="1">
      <c r="M131" s="284"/>
      <c r="Z131" s="120"/>
      <c r="AA131" s="120"/>
      <c r="AB131" s="120"/>
      <c r="AC131" s="120"/>
    </row>
    <row r="132" spans="13:29" s="110" customFormat="1">
      <c r="M132" s="284"/>
      <c r="Z132" s="120"/>
      <c r="AA132" s="120"/>
      <c r="AB132" s="120"/>
      <c r="AC132" s="120"/>
    </row>
    <row r="133" spans="13:29" s="110" customFormat="1">
      <c r="M133" s="284"/>
      <c r="Z133" s="120"/>
      <c r="AA133" s="120"/>
      <c r="AB133" s="120"/>
      <c r="AC133" s="120"/>
    </row>
    <row r="134" spans="13:29" s="110" customFormat="1">
      <c r="M134" s="284"/>
      <c r="Z134" s="120"/>
      <c r="AA134" s="120"/>
      <c r="AB134" s="120"/>
      <c r="AC134" s="120"/>
    </row>
    <row r="135" spans="13:29" s="110" customFormat="1">
      <c r="M135" s="284"/>
      <c r="Z135" s="120"/>
      <c r="AA135" s="120"/>
      <c r="AB135" s="120"/>
      <c r="AC135" s="120"/>
    </row>
    <row r="136" spans="13:29" s="110" customFormat="1">
      <c r="M136" s="284"/>
      <c r="Z136" s="120"/>
      <c r="AA136" s="120"/>
      <c r="AB136" s="120"/>
      <c r="AC136" s="120"/>
    </row>
    <row r="137" spans="13:29" s="110" customFormat="1">
      <c r="M137" s="284"/>
      <c r="Z137" s="120"/>
      <c r="AA137" s="120"/>
      <c r="AB137" s="120"/>
      <c r="AC137" s="120"/>
    </row>
    <row r="138" spans="13:29" s="110" customFormat="1">
      <c r="M138" s="284"/>
      <c r="Z138" s="120"/>
      <c r="AA138" s="120"/>
      <c r="AB138" s="120"/>
      <c r="AC138" s="120"/>
    </row>
    <row r="139" spans="13:29" s="110" customFormat="1">
      <c r="M139" s="284"/>
      <c r="Z139" s="120"/>
      <c r="AA139" s="120"/>
      <c r="AB139" s="120"/>
      <c r="AC139" s="120"/>
    </row>
    <row r="140" spans="13:29" s="110" customFormat="1">
      <c r="M140" s="284"/>
      <c r="Z140" s="120"/>
      <c r="AA140" s="120"/>
      <c r="AB140" s="120"/>
      <c r="AC140" s="120"/>
    </row>
    <row r="141" spans="13:29" s="110" customFormat="1">
      <c r="M141" s="284"/>
      <c r="Z141" s="120"/>
      <c r="AA141" s="120"/>
      <c r="AB141" s="120"/>
      <c r="AC141" s="120"/>
    </row>
    <row r="142" spans="13:29" s="110" customFormat="1">
      <c r="M142" s="284"/>
      <c r="Z142" s="120"/>
      <c r="AA142" s="120"/>
      <c r="AB142" s="120"/>
      <c r="AC142" s="120"/>
    </row>
    <row r="143" spans="13:29" s="110" customFormat="1">
      <c r="M143" s="284"/>
      <c r="Z143" s="120"/>
      <c r="AA143" s="120"/>
      <c r="AB143" s="120"/>
      <c r="AC143" s="120"/>
    </row>
    <row r="144" spans="13:29" s="110" customFormat="1">
      <c r="M144" s="284"/>
      <c r="Z144" s="120"/>
      <c r="AA144" s="120"/>
      <c r="AB144" s="120"/>
      <c r="AC144" s="120"/>
    </row>
    <row r="145" spans="13:29" s="110" customFormat="1">
      <c r="M145" s="284"/>
      <c r="Z145" s="120"/>
      <c r="AA145" s="120"/>
      <c r="AB145" s="120"/>
      <c r="AC145" s="120"/>
    </row>
    <row r="146" spans="13:29" s="110" customFormat="1">
      <c r="M146" s="284"/>
      <c r="Z146" s="120"/>
      <c r="AA146" s="120"/>
      <c r="AB146" s="120"/>
      <c r="AC146" s="120"/>
    </row>
    <row r="147" spans="13:29" s="110" customFormat="1">
      <c r="M147" s="284"/>
      <c r="Z147" s="120"/>
      <c r="AA147" s="120"/>
      <c r="AB147" s="120"/>
      <c r="AC147" s="120"/>
    </row>
    <row r="148" spans="13:29" s="110" customFormat="1">
      <c r="M148" s="284"/>
      <c r="Z148" s="120"/>
      <c r="AA148" s="120"/>
      <c r="AB148" s="120"/>
      <c r="AC148" s="120"/>
    </row>
    <row r="149" spans="13:29" s="110" customFormat="1">
      <c r="M149" s="284"/>
      <c r="Z149" s="120"/>
      <c r="AA149" s="120"/>
      <c r="AB149" s="120"/>
      <c r="AC149" s="120"/>
    </row>
    <row r="150" spans="13:29" s="110" customFormat="1">
      <c r="M150" s="284"/>
      <c r="Z150" s="120"/>
      <c r="AA150" s="120"/>
      <c r="AB150" s="120"/>
      <c r="AC150" s="120"/>
    </row>
    <row r="151" spans="13:29" s="110" customFormat="1">
      <c r="M151" s="284"/>
      <c r="Z151" s="120"/>
      <c r="AA151" s="120"/>
      <c r="AB151" s="120"/>
      <c r="AC151" s="120"/>
    </row>
    <row r="152" spans="13:29" s="110" customFormat="1">
      <c r="M152" s="284"/>
      <c r="Z152" s="120"/>
      <c r="AA152" s="120"/>
      <c r="AB152" s="120"/>
      <c r="AC152" s="120"/>
    </row>
    <row r="153" spans="13:29" s="110" customFormat="1">
      <c r="M153" s="284"/>
      <c r="Z153" s="120"/>
      <c r="AA153" s="120"/>
      <c r="AB153" s="120"/>
      <c r="AC153" s="120"/>
    </row>
    <row r="154" spans="13:29" s="110" customFormat="1">
      <c r="M154" s="284"/>
      <c r="Z154" s="120"/>
      <c r="AA154" s="120"/>
      <c r="AB154" s="120"/>
      <c r="AC154" s="120"/>
    </row>
    <row r="155" spans="13:29" s="110" customFormat="1">
      <c r="M155" s="284"/>
      <c r="Z155" s="120"/>
      <c r="AA155" s="120"/>
      <c r="AB155" s="120"/>
      <c r="AC155" s="120"/>
    </row>
    <row r="156" spans="13:29" s="110" customFormat="1">
      <c r="M156" s="284"/>
      <c r="Z156" s="120"/>
      <c r="AA156" s="120"/>
      <c r="AB156" s="120"/>
      <c r="AC156" s="120"/>
    </row>
    <row r="157" spans="13:29" s="110" customFormat="1">
      <c r="M157" s="284"/>
      <c r="Z157" s="120"/>
      <c r="AA157" s="120"/>
      <c r="AB157" s="120"/>
      <c r="AC157" s="120"/>
    </row>
    <row r="158" spans="13:29" s="110" customFormat="1">
      <c r="M158" s="284"/>
      <c r="Z158" s="120"/>
      <c r="AA158" s="120"/>
      <c r="AB158" s="120"/>
      <c r="AC158" s="120"/>
    </row>
    <row r="159" spans="13:29" s="110" customFormat="1">
      <c r="M159" s="284"/>
      <c r="Z159" s="120"/>
      <c r="AA159" s="120"/>
      <c r="AB159" s="120"/>
      <c r="AC159" s="120"/>
    </row>
    <row r="160" spans="13:29" s="110" customFormat="1">
      <c r="M160" s="284"/>
      <c r="Z160" s="120"/>
      <c r="AA160" s="120"/>
      <c r="AB160" s="120"/>
      <c r="AC160" s="120"/>
    </row>
    <row r="161" spans="13:29" s="110" customFormat="1">
      <c r="M161" s="284"/>
      <c r="Z161" s="120"/>
      <c r="AA161" s="120"/>
      <c r="AB161" s="120"/>
      <c r="AC161" s="120"/>
    </row>
    <row r="162" spans="13:29" s="110" customFormat="1">
      <c r="M162" s="284"/>
      <c r="Z162" s="120"/>
      <c r="AA162" s="120"/>
      <c r="AB162" s="120"/>
      <c r="AC162" s="120"/>
    </row>
    <row r="163" spans="13:29" s="110" customFormat="1">
      <c r="M163" s="284"/>
      <c r="Z163" s="120"/>
      <c r="AA163" s="120"/>
      <c r="AB163" s="120"/>
      <c r="AC163" s="120"/>
    </row>
    <row r="164" spans="13:29" s="110" customFormat="1">
      <c r="M164" s="284"/>
      <c r="Z164" s="120"/>
      <c r="AA164" s="120"/>
      <c r="AB164" s="120"/>
      <c r="AC164" s="120"/>
    </row>
    <row r="165" spans="13:29" s="110" customFormat="1">
      <c r="M165" s="284"/>
      <c r="Z165" s="120"/>
      <c r="AA165" s="120"/>
      <c r="AB165" s="120"/>
      <c r="AC165" s="120"/>
    </row>
    <row r="166" spans="13:29" s="110" customFormat="1">
      <c r="M166" s="284"/>
      <c r="Z166" s="120"/>
      <c r="AA166" s="120"/>
      <c r="AB166" s="120"/>
      <c r="AC166" s="120"/>
    </row>
    <row r="167" spans="13:29" s="110" customFormat="1">
      <c r="M167" s="284"/>
      <c r="Z167" s="120"/>
      <c r="AA167" s="120"/>
      <c r="AB167" s="120"/>
      <c r="AC167" s="120"/>
    </row>
    <row r="168" spans="13:29" s="110" customFormat="1">
      <c r="M168" s="284"/>
      <c r="Z168" s="120"/>
      <c r="AA168" s="120"/>
      <c r="AB168" s="120"/>
      <c r="AC168" s="120"/>
    </row>
    <row r="169" spans="13:29" s="110" customFormat="1">
      <c r="M169" s="284"/>
      <c r="Z169" s="120"/>
      <c r="AA169" s="120"/>
      <c r="AB169" s="120"/>
      <c r="AC169" s="120"/>
    </row>
    <row r="170" spans="13:29" s="110" customFormat="1">
      <c r="M170" s="284"/>
      <c r="Z170" s="120"/>
      <c r="AA170" s="120"/>
      <c r="AB170" s="120"/>
      <c r="AC170" s="120"/>
    </row>
    <row r="171" spans="13:29" s="110" customFormat="1">
      <c r="M171" s="284"/>
      <c r="Z171" s="120"/>
      <c r="AA171" s="120"/>
      <c r="AB171" s="120"/>
      <c r="AC171" s="120"/>
    </row>
    <row r="172" spans="13:29" s="110" customFormat="1">
      <c r="M172" s="284"/>
      <c r="Z172" s="120"/>
      <c r="AA172" s="120"/>
      <c r="AB172" s="120"/>
      <c r="AC172" s="120"/>
    </row>
    <row r="173" spans="13:29" s="110" customFormat="1">
      <c r="M173" s="284"/>
      <c r="Z173" s="120"/>
      <c r="AA173" s="120"/>
      <c r="AB173" s="120"/>
      <c r="AC173" s="120"/>
    </row>
    <row r="174" spans="13:29" s="110" customFormat="1">
      <c r="M174" s="284"/>
      <c r="Z174" s="120"/>
      <c r="AA174" s="120"/>
      <c r="AB174" s="120"/>
      <c r="AC174" s="120"/>
    </row>
    <row r="175" spans="13:29" s="110" customFormat="1">
      <c r="M175" s="284"/>
      <c r="Z175" s="120"/>
      <c r="AA175" s="120"/>
      <c r="AB175" s="120"/>
      <c r="AC175" s="120"/>
    </row>
    <row r="176" spans="13:29" s="110" customFormat="1">
      <c r="M176" s="284"/>
      <c r="Z176" s="120"/>
      <c r="AA176" s="120"/>
      <c r="AB176" s="120"/>
      <c r="AC176" s="120"/>
    </row>
    <row r="177" spans="13:29" s="110" customFormat="1">
      <c r="M177" s="284"/>
      <c r="Z177" s="120"/>
      <c r="AA177" s="120"/>
      <c r="AB177" s="120"/>
      <c r="AC177" s="120"/>
    </row>
    <row r="178" spans="13:29" s="110" customFormat="1">
      <c r="M178" s="284"/>
      <c r="Z178" s="120"/>
      <c r="AA178" s="120"/>
      <c r="AB178" s="120"/>
      <c r="AC178" s="120"/>
    </row>
    <row r="179" spans="13:29" s="110" customFormat="1">
      <c r="M179" s="284"/>
      <c r="Z179" s="120"/>
      <c r="AA179" s="120"/>
      <c r="AB179" s="120"/>
      <c r="AC179" s="120"/>
    </row>
    <row r="180" spans="13:29" s="110" customFormat="1">
      <c r="M180" s="284"/>
      <c r="Z180" s="120"/>
      <c r="AA180" s="120"/>
      <c r="AB180" s="120"/>
      <c r="AC180" s="120"/>
    </row>
    <row r="181" spans="13:29" s="110" customFormat="1">
      <c r="M181" s="284"/>
      <c r="Z181" s="120"/>
      <c r="AA181" s="120"/>
      <c r="AB181" s="120"/>
      <c r="AC181" s="120"/>
    </row>
    <row r="182" spans="13:29" s="110" customFormat="1">
      <c r="M182" s="284"/>
      <c r="Z182" s="120"/>
      <c r="AA182" s="120"/>
      <c r="AB182" s="120"/>
      <c r="AC182" s="120"/>
    </row>
    <row r="183" spans="13:29" s="110" customFormat="1">
      <c r="M183" s="284"/>
      <c r="Z183" s="120"/>
      <c r="AA183" s="120"/>
      <c r="AB183" s="120"/>
      <c r="AC183" s="120"/>
    </row>
    <row r="184" spans="13:29" s="110" customFormat="1">
      <c r="M184" s="284"/>
      <c r="Z184" s="120"/>
      <c r="AA184" s="120"/>
      <c r="AB184" s="120"/>
      <c r="AC184" s="120"/>
    </row>
    <row r="185" spans="13:29" s="110" customFormat="1">
      <c r="M185" s="284"/>
      <c r="Z185" s="120"/>
      <c r="AA185" s="120"/>
      <c r="AB185" s="120"/>
      <c r="AC185" s="120"/>
    </row>
    <row r="186" spans="13:29" s="110" customFormat="1">
      <c r="M186" s="284"/>
      <c r="Z186" s="120"/>
      <c r="AA186" s="120"/>
      <c r="AB186" s="120"/>
      <c r="AC186" s="120"/>
    </row>
    <row r="187" spans="13:29" s="110" customFormat="1">
      <c r="M187" s="284"/>
      <c r="Z187" s="120"/>
      <c r="AA187" s="120"/>
      <c r="AB187" s="120"/>
      <c r="AC187" s="120"/>
    </row>
    <row r="188" spans="13:29" s="110" customFormat="1">
      <c r="M188" s="284"/>
      <c r="Z188" s="120"/>
      <c r="AA188" s="120"/>
      <c r="AB188" s="120"/>
      <c r="AC188" s="120"/>
    </row>
    <row r="189" spans="13:29" s="110" customFormat="1">
      <c r="M189" s="284"/>
      <c r="Z189" s="120"/>
      <c r="AA189" s="120"/>
      <c r="AB189" s="120"/>
      <c r="AC189" s="120"/>
    </row>
    <row r="190" spans="13:29" s="110" customFormat="1">
      <c r="M190" s="284"/>
      <c r="Z190" s="120"/>
      <c r="AA190" s="120"/>
      <c r="AB190" s="120"/>
      <c r="AC190" s="120"/>
    </row>
    <row r="191" spans="13:29" s="110" customFormat="1">
      <c r="M191" s="284"/>
      <c r="Z191" s="120"/>
      <c r="AA191" s="120"/>
      <c r="AB191" s="120"/>
      <c r="AC191" s="120"/>
    </row>
    <row r="192" spans="13:29" s="110" customFormat="1">
      <c r="M192" s="284"/>
      <c r="Z192" s="120"/>
      <c r="AA192" s="120"/>
      <c r="AB192" s="120"/>
      <c r="AC192" s="120"/>
    </row>
    <row r="193" spans="13:29" s="110" customFormat="1">
      <c r="M193" s="284"/>
      <c r="Z193" s="120"/>
      <c r="AA193" s="120"/>
      <c r="AB193" s="120"/>
      <c r="AC193" s="120"/>
    </row>
    <row r="194" spans="13:29" s="110" customFormat="1">
      <c r="M194" s="284"/>
      <c r="Z194" s="120"/>
      <c r="AA194" s="120"/>
      <c r="AB194" s="120"/>
      <c r="AC194" s="120"/>
    </row>
    <row r="195" spans="13:29" s="110" customFormat="1">
      <c r="M195" s="284"/>
      <c r="Z195" s="120"/>
      <c r="AA195" s="120"/>
      <c r="AB195" s="120"/>
      <c r="AC195" s="120"/>
    </row>
    <row r="196" spans="13:29" s="110" customFormat="1">
      <c r="M196" s="284"/>
      <c r="Z196" s="120"/>
      <c r="AA196" s="120"/>
      <c r="AB196" s="120"/>
      <c r="AC196" s="120"/>
    </row>
    <row r="197" spans="13:29" s="110" customFormat="1">
      <c r="M197" s="284"/>
      <c r="Z197" s="120"/>
      <c r="AA197" s="120"/>
      <c r="AB197" s="120"/>
      <c r="AC197" s="120"/>
    </row>
    <row r="198" spans="13:29" s="110" customFormat="1">
      <c r="M198" s="284"/>
      <c r="Z198" s="120"/>
      <c r="AA198" s="120"/>
      <c r="AB198" s="120"/>
      <c r="AC198" s="120"/>
    </row>
    <row r="199" spans="13:29" s="110" customFormat="1">
      <c r="M199" s="284"/>
      <c r="Z199" s="120"/>
      <c r="AA199" s="120"/>
      <c r="AB199" s="120"/>
      <c r="AC199" s="120"/>
    </row>
    <row r="200" spans="13:29" s="110" customFormat="1">
      <c r="M200" s="284"/>
      <c r="Z200" s="120"/>
      <c r="AA200" s="120"/>
      <c r="AB200" s="120"/>
      <c r="AC200" s="120"/>
    </row>
    <row r="201" spans="13:29" s="110" customFormat="1">
      <c r="M201" s="284"/>
      <c r="Z201" s="120"/>
      <c r="AA201" s="120"/>
      <c r="AB201" s="120"/>
      <c r="AC201" s="120"/>
    </row>
    <row r="202" spans="13:29" s="110" customFormat="1">
      <c r="M202" s="284"/>
      <c r="Z202" s="120"/>
      <c r="AA202" s="120"/>
      <c r="AB202" s="120"/>
      <c r="AC202" s="120"/>
    </row>
    <row r="203" spans="13:29" s="110" customFormat="1">
      <c r="M203" s="284"/>
      <c r="Z203" s="120"/>
      <c r="AA203" s="120"/>
      <c r="AB203" s="120"/>
      <c r="AC203" s="120"/>
    </row>
    <row r="204" spans="13:29" s="110" customFormat="1">
      <c r="M204" s="284"/>
      <c r="Z204" s="120"/>
      <c r="AA204" s="120"/>
      <c r="AB204" s="120"/>
      <c r="AC204" s="120"/>
    </row>
    <row r="205" spans="13:29" s="110" customFormat="1">
      <c r="M205" s="284"/>
      <c r="Z205" s="120"/>
      <c r="AA205" s="120"/>
      <c r="AB205" s="120"/>
      <c r="AC205" s="120"/>
    </row>
    <row r="206" spans="13:29" s="110" customFormat="1">
      <c r="M206" s="284"/>
      <c r="Z206" s="120"/>
      <c r="AA206" s="120"/>
      <c r="AB206" s="120"/>
      <c r="AC206" s="120"/>
    </row>
    <row r="207" spans="13:29" s="110" customFormat="1">
      <c r="M207" s="284"/>
      <c r="Z207" s="120"/>
      <c r="AA207" s="120"/>
      <c r="AB207" s="120"/>
      <c r="AC207" s="120"/>
    </row>
    <row r="208" spans="13:29" s="110" customFormat="1">
      <c r="M208" s="284"/>
      <c r="Z208" s="120"/>
      <c r="AA208" s="120"/>
      <c r="AB208" s="120"/>
      <c r="AC208" s="120"/>
    </row>
    <row r="209" spans="13:29" s="110" customFormat="1">
      <c r="M209" s="284"/>
      <c r="Z209" s="120"/>
      <c r="AA209" s="120"/>
      <c r="AB209" s="120"/>
      <c r="AC209" s="120"/>
    </row>
    <row r="210" spans="13:29" s="110" customFormat="1">
      <c r="M210" s="284"/>
      <c r="Z210" s="120"/>
      <c r="AA210" s="120"/>
      <c r="AB210" s="120"/>
      <c r="AC210" s="120"/>
    </row>
    <row r="211" spans="13:29" s="110" customFormat="1">
      <c r="M211" s="284"/>
      <c r="Z211" s="120"/>
      <c r="AA211" s="120"/>
      <c r="AB211" s="120"/>
      <c r="AC211" s="120"/>
    </row>
    <row r="212" spans="13:29" s="110" customFormat="1">
      <c r="M212" s="284"/>
      <c r="Z212" s="120"/>
      <c r="AA212" s="120"/>
      <c r="AB212" s="120"/>
      <c r="AC212" s="120"/>
    </row>
    <row r="213" spans="13:29" s="110" customFormat="1">
      <c r="M213" s="284"/>
      <c r="Z213" s="120"/>
      <c r="AA213" s="120"/>
      <c r="AB213" s="120"/>
      <c r="AC213" s="120"/>
    </row>
    <row r="214" spans="13:29" s="110" customFormat="1">
      <c r="M214" s="284"/>
      <c r="Z214" s="120"/>
      <c r="AA214" s="120"/>
      <c r="AB214" s="120"/>
      <c r="AC214" s="120"/>
    </row>
    <row r="215" spans="13:29" s="110" customFormat="1">
      <c r="M215" s="284"/>
      <c r="Z215" s="120"/>
      <c r="AA215" s="120"/>
      <c r="AB215" s="120"/>
      <c r="AC215" s="120"/>
    </row>
    <row r="216" spans="13:29" s="110" customFormat="1">
      <c r="M216" s="284"/>
      <c r="Z216" s="120"/>
      <c r="AA216" s="120"/>
      <c r="AB216" s="120"/>
      <c r="AC216" s="120"/>
    </row>
    <row r="217" spans="13:29" s="110" customFormat="1">
      <c r="M217" s="284"/>
      <c r="Z217" s="120"/>
      <c r="AA217" s="120"/>
      <c r="AB217" s="120"/>
      <c r="AC217" s="120"/>
    </row>
    <row r="218" spans="13:29" s="110" customFormat="1">
      <c r="M218" s="284"/>
      <c r="Z218" s="120"/>
      <c r="AA218" s="120"/>
      <c r="AB218" s="120"/>
      <c r="AC218" s="120"/>
    </row>
    <row r="219" spans="13:29" s="110" customFormat="1">
      <c r="M219" s="284"/>
      <c r="Z219" s="120"/>
      <c r="AA219" s="120"/>
      <c r="AB219" s="120"/>
      <c r="AC219" s="120"/>
    </row>
    <row r="220" spans="13:29" s="110" customFormat="1">
      <c r="M220" s="284"/>
      <c r="Z220" s="120"/>
      <c r="AA220" s="120"/>
      <c r="AB220" s="120"/>
      <c r="AC220" s="120"/>
    </row>
    <row r="221" spans="13:29" s="110" customFormat="1">
      <c r="M221" s="284"/>
      <c r="Z221" s="120"/>
      <c r="AA221" s="120"/>
      <c r="AB221" s="120"/>
      <c r="AC221" s="120"/>
    </row>
    <row r="222" spans="13:29" s="110" customFormat="1">
      <c r="M222" s="284"/>
      <c r="Z222" s="120"/>
      <c r="AA222" s="120"/>
      <c r="AB222" s="120"/>
      <c r="AC222" s="120"/>
    </row>
    <row r="223" spans="13:29" s="110" customFormat="1">
      <c r="M223" s="284"/>
      <c r="Z223" s="120"/>
      <c r="AA223" s="120"/>
      <c r="AB223" s="120"/>
      <c r="AC223" s="120"/>
    </row>
    <row r="224" spans="13:29" s="110" customFormat="1">
      <c r="M224" s="284"/>
      <c r="Z224" s="120"/>
      <c r="AA224" s="120"/>
      <c r="AB224" s="120"/>
      <c r="AC224" s="120"/>
    </row>
    <row r="225" spans="13:29" s="110" customFormat="1">
      <c r="M225" s="284"/>
      <c r="Z225" s="120"/>
      <c r="AA225" s="120"/>
      <c r="AB225" s="120"/>
      <c r="AC225" s="120"/>
    </row>
    <row r="226" spans="13:29" s="110" customFormat="1">
      <c r="M226" s="284"/>
      <c r="Z226" s="120"/>
      <c r="AA226" s="120"/>
      <c r="AB226" s="120"/>
      <c r="AC226" s="120"/>
    </row>
    <row r="227" spans="13:29" s="110" customFormat="1">
      <c r="M227" s="284"/>
      <c r="Z227" s="120"/>
      <c r="AA227" s="120"/>
      <c r="AB227" s="120"/>
      <c r="AC227" s="120"/>
    </row>
    <row r="228" spans="13:29" s="110" customFormat="1">
      <c r="M228" s="284"/>
      <c r="Z228" s="120"/>
      <c r="AA228" s="120"/>
      <c r="AB228" s="120"/>
      <c r="AC228" s="120"/>
    </row>
    <row r="229" spans="13:29" s="110" customFormat="1">
      <c r="M229" s="284"/>
      <c r="Z229" s="120"/>
      <c r="AA229" s="120"/>
      <c r="AB229" s="120"/>
      <c r="AC229" s="120"/>
    </row>
    <row r="230" spans="13:29" s="110" customFormat="1">
      <c r="M230" s="284"/>
      <c r="Z230" s="120"/>
      <c r="AA230" s="120"/>
      <c r="AB230" s="120"/>
      <c r="AC230" s="120"/>
    </row>
  </sheetData>
  <sheetProtection algorithmName="SHA-512" hashValue="V3LuuCJnH+VJgYC/RVqrTrNdbX+jU/QlGEFyfz6D3yhwjZIoKp/8n4He9ptt/iXqYP9uexe4rgatqF6MvxQ/RQ==" saltValue="vO4YyGE92AX7bGmC66XAOA==" spinCount="100000" sheet="1" objects="1" scenarios="1"/>
  <sortState ref="Z2:Z21">
    <sortCondition ref="Z2"/>
  </sortState>
  <dataConsolidate/>
  <mergeCells count="86">
    <mergeCell ref="F28:K28"/>
    <mergeCell ref="B27:C27"/>
    <mergeCell ref="D27:E27"/>
    <mergeCell ref="F27:K27"/>
    <mergeCell ref="F23:K23"/>
    <mergeCell ref="F25:K25"/>
    <mergeCell ref="F24:K24"/>
    <mergeCell ref="D26:E26"/>
    <mergeCell ref="F26:K26"/>
    <mergeCell ref="A27:A28"/>
    <mergeCell ref="B12:C12"/>
    <mergeCell ref="D12:E12"/>
    <mergeCell ref="F12:K12"/>
    <mergeCell ref="B14:C14"/>
    <mergeCell ref="D14:E14"/>
    <mergeCell ref="F14:K14"/>
    <mergeCell ref="D13:E13"/>
    <mergeCell ref="B16:C16"/>
    <mergeCell ref="D16:E16"/>
    <mergeCell ref="F16:K16"/>
    <mergeCell ref="B18:C18"/>
    <mergeCell ref="D18:E18"/>
    <mergeCell ref="F18:K18"/>
    <mergeCell ref="F17:K17"/>
    <mergeCell ref="B28:C28"/>
    <mergeCell ref="A23:A24"/>
    <mergeCell ref="A25:A26"/>
    <mergeCell ref="B20:C20"/>
    <mergeCell ref="A9:A10"/>
    <mergeCell ref="A11:A12"/>
    <mergeCell ref="A13:A14"/>
    <mergeCell ref="A15:A16"/>
    <mergeCell ref="A17:A18"/>
    <mergeCell ref="B21:C21"/>
    <mergeCell ref="B26:C26"/>
    <mergeCell ref="D17:E17"/>
    <mergeCell ref="D19:E19"/>
    <mergeCell ref="F13:K13"/>
    <mergeCell ref="A19:A20"/>
    <mergeCell ref="A21:A22"/>
    <mergeCell ref="F22:K22"/>
    <mergeCell ref="F21:K21"/>
    <mergeCell ref="F19:K19"/>
    <mergeCell ref="D20:E20"/>
    <mergeCell ref="F20:K20"/>
    <mergeCell ref="B19:C19"/>
    <mergeCell ref="B17:C17"/>
    <mergeCell ref="A5:A6"/>
    <mergeCell ref="F4:K4"/>
    <mergeCell ref="D4:E4"/>
    <mergeCell ref="B13:C13"/>
    <mergeCell ref="B15:C15"/>
    <mergeCell ref="B5:C5"/>
    <mergeCell ref="B6:C6"/>
    <mergeCell ref="A8:K8"/>
    <mergeCell ref="B9:C9"/>
    <mergeCell ref="D5:K5"/>
    <mergeCell ref="F15:K15"/>
    <mergeCell ref="D15:E15"/>
    <mergeCell ref="AC1:AD1"/>
    <mergeCell ref="F11:K11"/>
    <mergeCell ref="F9:K9"/>
    <mergeCell ref="D9:E9"/>
    <mergeCell ref="D11:E11"/>
    <mergeCell ref="B7:K7"/>
    <mergeCell ref="B10:C10"/>
    <mergeCell ref="F10:K10"/>
    <mergeCell ref="D10:E10"/>
    <mergeCell ref="A1:K1"/>
    <mergeCell ref="B3:C3"/>
    <mergeCell ref="D3:K3"/>
    <mergeCell ref="A2:K2"/>
    <mergeCell ref="B4:C4"/>
    <mergeCell ref="B11:C11"/>
    <mergeCell ref="D6:K6"/>
    <mergeCell ref="B69:D69"/>
    <mergeCell ref="B23:C23"/>
    <mergeCell ref="B25:C25"/>
    <mergeCell ref="D21:E21"/>
    <mergeCell ref="D23:E23"/>
    <mergeCell ref="D25:E25"/>
    <mergeCell ref="B24:C24"/>
    <mergeCell ref="D24:E24"/>
    <mergeCell ref="B22:C22"/>
    <mergeCell ref="D22:E22"/>
    <mergeCell ref="D28:E28"/>
  </mergeCells>
  <conditionalFormatting sqref="A21">
    <cfRule type="containsText" dxfId="448" priority="27" operator="containsText" text="Alerta">
      <formula>NOT(ISERROR(SEARCH("Alerta",A21)))</formula>
    </cfRule>
  </conditionalFormatting>
  <conditionalFormatting sqref="A9:C9 A1:K6 A7:B7 A8:K8">
    <cfRule type="containsText" dxfId="447" priority="181" operator="containsText" text="Alerta">
      <formula>NOT(ISERROR(SEARCH("Alerta",A1)))</formula>
    </cfRule>
  </conditionalFormatting>
  <conditionalFormatting sqref="A11:C11">
    <cfRule type="containsText" dxfId="446" priority="93" operator="containsText" text="Alerta">
      <formula>NOT(ISERROR(SEARCH("Alerta",A11)))</formula>
    </cfRule>
  </conditionalFormatting>
  <conditionalFormatting sqref="A13:C13">
    <cfRule type="containsText" dxfId="445" priority="91" operator="containsText" text="Alerta">
      <formula>NOT(ISERROR(SEARCH("Alerta",A13)))</formula>
    </cfRule>
  </conditionalFormatting>
  <conditionalFormatting sqref="A15:C15">
    <cfRule type="containsText" dxfId="444" priority="89" operator="containsText" text="Alerta">
      <formula>NOT(ISERROR(SEARCH("Alerta",A15)))</formula>
    </cfRule>
  </conditionalFormatting>
  <conditionalFormatting sqref="A17:C17">
    <cfRule type="containsText" dxfId="443" priority="87" operator="containsText" text="Alerta">
      <formula>NOT(ISERROR(SEARCH("Alerta",A17)))</formula>
    </cfRule>
  </conditionalFormatting>
  <conditionalFormatting sqref="A19:C19">
    <cfRule type="containsText" dxfId="442" priority="85" operator="containsText" text="Alerta">
      <formula>NOT(ISERROR(SEARCH("Alerta",A19)))</formula>
    </cfRule>
  </conditionalFormatting>
  <conditionalFormatting sqref="A23:C23">
    <cfRule type="containsText" dxfId="441" priority="81" operator="containsText" text="Alerta">
      <formula>NOT(ISERROR(SEARCH("Alerta",A23)))</formula>
    </cfRule>
  </conditionalFormatting>
  <conditionalFormatting sqref="A25:C25">
    <cfRule type="containsText" dxfId="440" priority="79" operator="containsText" text="Alerta">
      <formula>NOT(ISERROR(SEARCH("Alerta",A25)))</formula>
    </cfRule>
  </conditionalFormatting>
  <conditionalFormatting sqref="A27:C27">
    <cfRule type="containsText" dxfId="439" priority="77" operator="containsText" text="Alerta">
      <formula>NOT(ISERROR(SEARCH("Alerta",A27)))</formula>
    </cfRule>
  </conditionalFormatting>
  <conditionalFormatting sqref="A29:K68 A69:B69 E69:K69 A70:K81 B82:K83 A84:K1048576">
    <cfRule type="containsText" dxfId="438" priority="197" operator="containsText" text="Alerta">
      <formula>NOT(ISERROR(SEARCH("Alerta",A29)))</formula>
    </cfRule>
  </conditionalFormatting>
  <conditionalFormatting sqref="B82:L83 A84:L1048576 A1:L81">
    <cfRule type="containsText" dxfId="437" priority="26" operator="containsText" text="Alert">
      <formula>NOT(ISERROR(SEARCH("Alert",A1)))</formula>
    </cfRule>
  </conditionalFormatting>
  <conditionalFormatting sqref="B3:C4">
    <cfRule type="containsBlanks" dxfId="436" priority="199">
      <formula>LEN(TRIM(B3))=0</formula>
    </cfRule>
  </conditionalFormatting>
  <conditionalFormatting sqref="B5:C6">
    <cfRule type="containsBlanks" dxfId="435" priority="95">
      <formula>LEN(TRIM(B5))=0</formula>
    </cfRule>
  </conditionalFormatting>
  <conditionalFormatting sqref="B9:C9 B11:C11 B13:C13 B15:C15 B17:C17 B19:C19 B21:C21 B23:C23 B25:C25 B27:C27">
    <cfRule type="containsText" dxfId="434" priority="22" operator="containsText" text="Not applicable">
      <formula>NOT(ISERROR(SEARCH("Not applicable",B9)))</formula>
    </cfRule>
    <cfRule type="containsText" dxfId="433" priority="23" operator="containsText" text="Other">
      <formula>NOT(ISERROR(SEARCH("Other",B9)))</formula>
    </cfRule>
    <cfRule type="duplicateValues" dxfId="432" priority="24"/>
    <cfRule type="containsBlanks" dxfId="431" priority="96">
      <formula>LEN(TRIM(B9))=0</formula>
    </cfRule>
  </conditionalFormatting>
  <conditionalFormatting sqref="B9:C9">
    <cfRule type="containsBlanks" dxfId="430" priority="94">
      <formula>LEN(TRIM(B9))=0</formula>
    </cfRule>
  </conditionalFormatting>
  <conditionalFormatting sqref="B10:C28">
    <cfRule type="containsText" dxfId="429" priority="97" operator="containsText" text="Alerta">
      <formula>NOT(ISERROR(SEARCH("Alerta",B10)))</formula>
    </cfRule>
  </conditionalFormatting>
  <conditionalFormatting sqref="B11:C11">
    <cfRule type="containsBlanks" dxfId="428" priority="92">
      <formula>LEN(TRIM(B11))=0</formula>
    </cfRule>
  </conditionalFormatting>
  <conditionalFormatting sqref="B13:C13">
    <cfRule type="containsBlanks" dxfId="427" priority="90">
      <formula>LEN(TRIM(B13))=0</formula>
    </cfRule>
  </conditionalFormatting>
  <conditionalFormatting sqref="B15:C15">
    <cfRule type="containsBlanks" dxfId="426" priority="88">
      <formula>LEN(TRIM(B15))=0</formula>
    </cfRule>
  </conditionalFormatting>
  <conditionalFormatting sqref="B17:C17">
    <cfRule type="containsBlanks" dxfId="425" priority="86">
      <formula>LEN(TRIM(B17))=0</formula>
    </cfRule>
  </conditionalFormatting>
  <conditionalFormatting sqref="B19:C19">
    <cfRule type="containsBlanks" dxfId="424" priority="84">
      <formula>LEN(TRIM(B19))=0</formula>
    </cfRule>
  </conditionalFormatting>
  <conditionalFormatting sqref="B21:C21">
    <cfRule type="containsBlanks" dxfId="423" priority="82">
      <formula>LEN(TRIM(B21))=0</formula>
    </cfRule>
    <cfRule type="containsText" dxfId="422" priority="83" operator="containsText" text="Alerta">
      <formula>NOT(ISERROR(SEARCH("Alerta",B21)))</formula>
    </cfRule>
  </conditionalFormatting>
  <conditionalFormatting sqref="B23:C23">
    <cfRule type="containsBlanks" dxfId="421" priority="80">
      <formula>LEN(TRIM(B23))=0</formula>
    </cfRule>
  </conditionalFormatting>
  <conditionalFormatting sqref="B25:C25">
    <cfRule type="containsBlanks" dxfId="420" priority="78">
      <formula>LEN(TRIM(B25))=0</formula>
    </cfRule>
  </conditionalFormatting>
  <conditionalFormatting sqref="B27:C27">
    <cfRule type="containsBlanks" dxfId="419" priority="76">
      <formula>LEN(TRIM(B27))=0</formula>
    </cfRule>
  </conditionalFormatting>
  <conditionalFormatting sqref="B7:K7">
    <cfRule type="containsBlanks" dxfId="418" priority="25">
      <formula>LEN(TRIM(B7))=0</formula>
    </cfRule>
  </conditionalFormatting>
  <conditionalFormatting sqref="D4:E4">
    <cfRule type="containsBlanks" dxfId="417" priority="198">
      <formula>LEN(TRIM(D4))=0</formula>
    </cfRule>
  </conditionalFormatting>
  <conditionalFormatting sqref="D9:E28">
    <cfRule type="containsBlanks" dxfId="416" priority="28">
      <formula>LEN(TRIM(D9))=0</formula>
    </cfRule>
    <cfRule type="containsBlanks" dxfId="415" priority="29">
      <formula>LEN(TRIM(D9))=0</formula>
    </cfRule>
  </conditionalFormatting>
  <conditionalFormatting sqref="D9:F28">
    <cfRule type="containsText" dxfId="414" priority="30" operator="containsText" text="Alerta">
      <formula>NOT(ISERROR(SEARCH("Alerta",D9)))</formula>
    </cfRule>
  </conditionalFormatting>
  <conditionalFormatting sqref="B17:C17">
    <cfRule type="containsText" dxfId="413" priority="21" operator="containsText" text="Alerta">
      <formula>NOT(ISERROR(SEARCH("Alerta",B17)))</formula>
    </cfRule>
  </conditionalFormatting>
  <conditionalFormatting sqref="B17:C17">
    <cfRule type="containsBlanks" dxfId="412" priority="20">
      <formula>LEN(TRIM(B17))=0</formula>
    </cfRule>
  </conditionalFormatting>
  <conditionalFormatting sqref="B19:C19">
    <cfRule type="containsText" dxfId="411" priority="19" operator="containsText" text="Alerta">
      <formula>NOT(ISERROR(SEARCH("Alerta",B19)))</formula>
    </cfRule>
  </conditionalFormatting>
  <conditionalFormatting sqref="B19:C19">
    <cfRule type="containsBlanks" dxfId="410" priority="18">
      <formula>LEN(TRIM(B19))=0</formula>
    </cfRule>
  </conditionalFormatting>
  <conditionalFormatting sqref="B21:C21">
    <cfRule type="containsText" dxfId="409" priority="17" operator="containsText" text="Alerta">
      <formula>NOT(ISERROR(SEARCH("Alerta",B21)))</formula>
    </cfRule>
  </conditionalFormatting>
  <conditionalFormatting sqref="B21:C21">
    <cfRule type="containsBlanks" dxfId="408" priority="16">
      <formula>LEN(TRIM(B21))=0</formula>
    </cfRule>
  </conditionalFormatting>
  <conditionalFormatting sqref="B21:C21">
    <cfRule type="containsText" dxfId="407" priority="15" operator="containsText" text="Alerta">
      <formula>NOT(ISERROR(SEARCH("Alerta",B21)))</formula>
    </cfRule>
  </conditionalFormatting>
  <conditionalFormatting sqref="B21:C21">
    <cfRule type="containsBlanks" dxfId="406" priority="14">
      <formula>LEN(TRIM(B21))=0</formula>
    </cfRule>
  </conditionalFormatting>
  <conditionalFormatting sqref="B23:C23">
    <cfRule type="containsText" dxfId="405" priority="13" operator="containsText" text="Alerta">
      <formula>NOT(ISERROR(SEARCH("Alerta",B23)))</formula>
    </cfRule>
  </conditionalFormatting>
  <conditionalFormatting sqref="B23:C23">
    <cfRule type="containsBlanks" dxfId="404" priority="12">
      <formula>LEN(TRIM(B23))=0</formula>
    </cfRule>
  </conditionalFormatting>
  <conditionalFormatting sqref="B23:C23">
    <cfRule type="containsText" dxfId="403" priority="11" operator="containsText" text="Alerta">
      <formula>NOT(ISERROR(SEARCH("Alerta",B23)))</formula>
    </cfRule>
  </conditionalFormatting>
  <conditionalFormatting sqref="B23:C23">
    <cfRule type="containsBlanks" dxfId="402" priority="10">
      <formula>LEN(TRIM(B23))=0</formula>
    </cfRule>
  </conditionalFormatting>
  <conditionalFormatting sqref="B25:C25">
    <cfRule type="containsText" dxfId="401" priority="9" operator="containsText" text="Alerta">
      <formula>NOT(ISERROR(SEARCH("Alerta",B25)))</formula>
    </cfRule>
  </conditionalFormatting>
  <conditionalFormatting sqref="B25:C25">
    <cfRule type="containsBlanks" dxfId="400" priority="8">
      <formula>LEN(TRIM(B25))=0</formula>
    </cfRule>
  </conditionalFormatting>
  <conditionalFormatting sqref="B25:C25">
    <cfRule type="containsText" dxfId="399" priority="7" operator="containsText" text="Alerta">
      <formula>NOT(ISERROR(SEARCH("Alerta",B25)))</formula>
    </cfRule>
  </conditionalFormatting>
  <conditionalFormatting sqref="B25:C25">
    <cfRule type="containsBlanks" dxfId="398" priority="6">
      <formula>LEN(TRIM(B25))=0</formula>
    </cfRule>
  </conditionalFormatting>
  <conditionalFormatting sqref="B27:C27">
    <cfRule type="containsText" dxfId="397" priority="5" operator="containsText" text="Alerta">
      <formula>NOT(ISERROR(SEARCH("Alerta",B27)))</formula>
    </cfRule>
  </conditionalFormatting>
  <conditionalFormatting sqref="B27:C27">
    <cfRule type="containsBlanks" dxfId="396" priority="4">
      <formula>LEN(TRIM(B27))=0</formula>
    </cfRule>
  </conditionalFormatting>
  <conditionalFormatting sqref="B27:C27">
    <cfRule type="containsText" dxfId="395" priority="3" operator="containsText" text="Alerta">
      <formula>NOT(ISERROR(SEARCH("Alerta",B27)))</formula>
    </cfRule>
  </conditionalFormatting>
  <conditionalFormatting sqref="B27:C27">
    <cfRule type="containsBlanks" dxfId="394" priority="2">
      <formula>LEN(TRIM(B27))=0</formula>
    </cfRule>
  </conditionalFormatting>
  <conditionalFormatting sqref="B3:C3 B9:C9 B11:C11 B13:C13 B15:C15 B19:C19 B17:C17 B21:C21 B23:C23 B25:C25 B27:C27">
    <cfRule type="duplicateValues" dxfId="393" priority="1"/>
  </conditionalFormatting>
  <dataValidations count="2">
    <dataValidation type="list" allowBlank="1" showInputMessage="1" showErrorMessage="1" sqref="B15:C15 B17:C17 B19:C19 B21:C21 B23:C23 B25:C25 B27:C27 B11:C11 B13:C13" xr:uid="{D7649C62-79F6-4A68-A04A-F1AFDACA8FFC}">
      <formula1>$AC$4:$AC$27</formula1>
    </dataValidation>
    <dataValidation type="list" allowBlank="1" showInputMessage="1" showErrorMessage="1" sqref="B9:C9" xr:uid="{F60172B9-946C-480F-8ED0-85CD434991B6}">
      <formula1>$AC$3:$AC$27</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3C37B82-FEAF-4B81-BD66-996100AEC4AD}">
          <x14:formula1>
            <xm:f>'1.1'!$D$19:$D$31</xm:f>
          </x14:formula1>
          <xm:sqref>B4:C4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2757-E6DD-495F-B8C2-39B052F6B46A}">
  <dimension ref="A1:H27"/>
  <sheetViews>
    <sheetView workbookViewId="0">
      <selection activeCell="E15" sqref="A15:E15"/>
    </sheetView>
  </sheetViews>
  <sheetFormatPr defaultColWidth="8.88671875" defaultRowHeight="15.05"/>
  <cols>
    <col min="1" max="1" width="16.44140625" customWidth="1"/>
    <col min="2" max="2" width="90.44140625" customWidth="1"/>
    <col min="4" max="4" width="13.44140625" customWidth="1"/>
    <col min="5" max="5" width="88.44140625" customWidth="1"/>
    <col min="7" max="7" width="47" bestFit="1" customWidth="1"/>
    <col min="8" max="8" width="11.88671875" bestFit="1" customWidth="1"/>
  </cols>
  <sheetData>
    <row r="1" spans="1:8" ht="19" thickBot="1">
      <c r="A1" s="695" t="s">
        <v>712</v>
      </c>
      <c r="B1" s="696"/>
      <c r="D1" s="695" t="s">
        <v>713</v>
      </c>
      <c r="E1" s="696"/>
      <c r="G1" s="695" t="s">
        <v>904</v>
      </c>
      <c r="H1" s="696"/>
    </row>
    <row r="2" spans="1:8">
      <c r="A2" s="211" t="s">
        <v>652</v>
      </c>
      <c r="B2" s="211" t="s">
        <v>653</v>
      </c>
      <c r="D2" s="46" t="s">
        <v>165</v>
      </c>
      <c r="E2" s="46" t="s">
        <v>234</v>
      </c>
      <c r="G2" s="394" t="s">
        <v>177</v>
      </c>
      <c r="H2" s="394" t="s">
        <v>165</v>
      </c>
    </row>
    <row r="3" spans="1:8">
      <c r="A3" t="s">
        <v>221</v>
      </c>
      <c r="B3" t="s">
        <v>659</v>
      </c>
      <c r="D3" t="s">
        <v>0</v>
      </c>
      <c r="E3" t="s">
        <v>235</v>
      </c>
      <c r="G3" t="s">
        <v>664</v>
      </c>
      <c r="H3" t="s">
        <v>893</v>
      </c>
    </row>
    <row r="4" spans="1:8">
      <c r="A4" t="s">
        <v>220</v>
      </c>
      <c r="B4" t="s">
        <v>660</v>
      </c>
      <c r="D4" t="s">
        <v>236</v>
      </c>
      <c r="E4" t="s">
        <v>237</v>
      </c>
      <c r="G4" t="s">
        <v>665</v>
      </c>
      <c r="H4" t="s">
        <v>894</v>
      </c>
    </row>
    <row r="5" spans="1:8">
      <c r="A5" t="s">
        <v>226</v>
      </c>
      <c r="B5" t="s">
        <v>747</v>
      </c>
      <c r="D5" t="s">
        <v>815</v>
      </c>
      <c r="E5" t="s">
        <v>238</v>
      </c>
      <c r="G5" t="s">
        <v>666</v>
      </c>
      <c r="H5" t="s">
        <v>895</v>
      </c>
    </row>
    <row r="6" spans="1:8">
      <c r="A6" t="s">
        <v>891</v>
      </c>
      <c r="B6" t="s">
        <v>892</v>
      </c>
      <c r="D6" t="s">
        <v>239</v>
      </c>
      <c r="E6" t="s">
        <v>240</v>
      </c>
      <c r="G6" t="s">
        <v>667</v>
      </c>
      <c r="H6" t="s">
        <v>896</v>
      </c>
    </row>
    <row r="7" spans="1:8">
      <c r="A7" t="s">
        <v>228</v>
      </c>
      <c r="B7" t="s">
        <v>748</v>
      </c>
      <c r="D7" t="s">
        <v>241</v>
      </c>
      <c r="E7" t="s">
        <v>242</v>
      </c>
      <c r="G7" t="s">
        <v>668</v>
      </c>
      <c r="H7" t="s">
        <v>897</v>
      </c>
    </row>
    <row r="8" spans="1:8">
      <c r="A8" t="s">
        <v>222</v>
      </c>
      <c r="B8" t="s">
        <v>749</v>
      </c>
      <c r="D8" t="s">
        <v>243</v>
      </c>
      <c r="E8" t="s">
        <v>244</v>
      </c>
      <c r="G8" t="s">
        <v>669</v>
      </c>
      <c r="H8" t="s">
        <v>898</v>
      </c>
    </row>
    <row r="9" spans="1:8">
      <c r="A9" t="s">
        <v>223</v>
      </c>
      <c r="B9" t="s">
        <v>750</v>
      </c>
      <c r="D9" t="s">
        <v>245</v>
      </c>
      <c r="E9" t="s">
        <v>246</v>
      </c>
      <c r="G9" t="s">
        <v>670</v>
      </c>
      <c r="H9" t="s">
        <v>899</v>
      </c>
    </row>
    <row r="10" spans="1:8">
      <c r="A10" t="s">
        <v>127</v>
      </c>
      <c r="B10" t="s">
        <v>754</v>
      </c>
      <c r="D10" t="s">
        <v>247</v>
      </c>
      <c r="E10" t="s">
        <v>248</v>
      </c>
      <c r="G10" t="s">
        <v>671</v>
      </c>
      <c r="H10" t="s">
        <v>900</v>
      </c>
    </row>
    <row r="11" spans="1:8">
      <c r="A11" t="s">
        <v>227</v>
      </c>
      <c r="B11" t="s">
        <v>751</v>
      </c>
      <c r="D11" t="s">
        <v>249</v>
      </c>
      <c r="E11" t="s">
        <v>250</v>
      </c>
      <c r="G11" t="s">
        <v>672</v>
      </c>
      <c r="H11" t="s">
        <v>901</v>
      </c>
    </row>
    <row r="12" spans="1:8">
      <c r="A12" t="s">
        <v>229</v>
      </c>
      <c r="B12" t="s">
        <v>752</v>
      </c>
      <c r="D12" t="s">
        <v>108</v>
      </c>
      <c r="E12" t="s">
        <v>251</v>
      </c>
      <c r="G12" t="s">
        <v>673</v>
      </c>
      <c r="H12" t="s">
        <v>902</v>
      </c>
    </row>
    <row r="13" spans="1:8">
      <c r="A13" t="s">
        <v>225</v>
      </c>
      <c r="B13" t="s">
        <v>755</v>
      </c>
      <c r="D13" t="s">
        <v>252</v>
      </c>
      <c r="E13" t="s">
        <v>253</v>
      </c>
      <c r="G13" t="s">
        <v>903</v>
      </c>
      <c r="H13" t="s">
        <v>95</v>
      </c>
    </row>
    <row r="14" spans="1:8">
      <c r="A14" t="s">
        <v>224</v>
      </c>
      <c r="B14" t="s">
        <v>661</v>
      </c>
      <c r="D14" t="s">
        <v>254</v>
      </c>
      <c r="E14" t="s">
        <v>255</v>
      </c>
    </row>
    <row r="15" spans="1:8">
      <c r="A15" t="s">
        <v>231</v>
      </c>
      <c r="D15" t="s">
        <v>256</v>
      </c>
      <c r="E15" t="s">
        <v>257</v>
      </c>
    </row>
    <row r="16" spans="1:8">
      <c r="D16" t="s">
        <v>258</v>
      </c>
      <c r="E16" t="s">
        <v>259</v>
      </c>
    </row>
    <row r="17" spans="4:5">
      <c r="D17" t="s">
        <v>260</v>
      </c>
      <c r="E17" t="s">
        <v>261</v>
      </c>
    </row>
    <row r="18" spans="4:5">
      <c r="D18" t="s">
        <v>262</v>
      </c>
      <c r="E18" t="s">
        <v>263</v>
      </c>
    </row>
    <row r="19" spans="4:5">
      <c r="D19" t="s">
        <v>264</v>
      </c>
      <c r="E19" t="s">
        <v>265</v>
      </c>
    </row>
    <row r="20" spans="4:5">
      <c r="D20" t="s">
        <v>266</v>
      </c>
      <c r="E20" t="s">
        <v>267</v>
      </c>
    </row>
    <row r="21" spans="4:5">
      <c r="D21" t="s">
        <v>268</v>
      </c>
      <c r="E21" t="s">
        <v>269</v>
      </c>
    </row>
    <row r="22" spans="4:5">
      <c r="D22" t="s">
        <v>270</v>
      </c>
      <c r="E22" t="s">
        <v>271</v>
      </c>
    </row>
    <row r="23" spans="4:5">
      <c r="D23" t="s">
        <v>272</v>
      </c>
      <c r="E23" t="s">
        <v>273</v>
      </c>
    </row>
    <row r="24" spans="4:5">
      <c r="D24" t="s">
        <v>274</v>
      </c>
      <c r="E24" t="s">
        <v>275</v>
      </c>
    </row>
    <row r="25" spans="4:5">
      <c r="D25" t="s">
        <v>276</v>
      </c>
      <c r="E25" t="s">
        <v>277</v>
      </c>
    </row>
    <row r="26" spans="4:5">
      <c r="D26" t="s">
        <v>278</v>
      </c>
      <c r="E26" t="s">
        <v>279</v>
      </c>
    </row>
    <row r="27" spans="4:5">
      <c r="D27" t="s">
        <v>280</v>
      </c>
    </row>
  </sheetData>
  <mergeCells count="3">
    <mergeCell ref="A1:B1"/>
    <mergeCell ref="D1:E1"/>
    <mergeCell ref="G1:H1"/>
  </mergeCells>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9879-A533-41EA-AC7F-FC29ACF7596E}">
  <sheetPr>
    <tabColor theme="5" tint="-0.249977111117893"/>
  </sheetPr>
  <dimension ref="A1:CD68"/>
  <sheetViews>
    <sheetView zoomScale="90" zoomScaleNormal="90" workbookViewId="0">
      <pane xSplit="2" ySplit="3" topLeftCell="C4" activePane="bottomRight" state="frozen"/>
      <selection activeCell="F22" sqref="F22:J22"/>
      <selection pane="topRight" activeCell="F22" sqref="F22:J22"/>
      <selection pane="bottomLeft" activeCell="F22" sqref="F22:J22"/>
      <selection pane="bottomRight" activeCell="C4" sqref="C4"/>
    </sheetView>
  </sheetViews>
  <sheetFormatPr defaultColWidth="8.88671875" defaultRowHeight="15.05"/>
  <cols>
    <col min="1" max="1" width="9.109375" customWidth="1"/>
    <col min="2" max="2" width="11.44140625" customWidth="1"/>
    <col min="3" max="3" width="55.44140625" customWidth="1"/>
    <col min="4" max="4" width="14.44140625" hidden="1" customWidth="1"/>
    <col min="5" max="5" width="14" hidden="1" customWidth="1"/>
    <col min="6" max="6" width="10.88671875" hidden="1" customWidth="1"/>
    <col min="7" max="7" width="12.44140625" customWidth="1"/>
    <col min="8" max="9" width="9.44140625" customWidth="1"/>
    <col min="10" max="18" width="2.44140625" customWidth="1"/>
    <col min="19" max="57" width="2.88671875" customWidth="1"/>
    <col min="58" max="58" width="48.44140625" style="110" customWidth="1"/>
    <col min="59" max="59" width="12.109375" style="122" customWidth="1"/>
    <col min="60" max="60" width="9.109375" style="122" customWidth="1"/>
    <col min="61" max="61" width="25.44140625" style="122" hidden="1" customWidth="1"/>
    <col min="62" max="62" width="45.44140625" style="122" hidden="1" customWidth="1"/>
    <col min="63" max="63" width="19.44140625" style="122" hidden="1" customWidth="1"/>
    <col min="64" max="67" width="8" style="120" hidden="1" customWidth="1"/>
    <col min="68" max="68" width="8" style="120" customWidth="1"/>
    <col min="69" max="80" width="4.44140625" style="120" customWidth="1"/>
    <col min="81" max="82" width="4.44140625" style="122" customWidth="1"/>
  </cols>
  <sheetData>
    <row r="1" spans="1:82" s="1" customFormat="1" ht="23.4" customHeight="1">
      <c r="B1" s="671" t="s">
        <v>816</v>
      </c>
      <c r="C1" s="671"/>
      <c r="D1" s="671"/>
      <c r="E1" s="671"/>
      <c r="F1" s="671"/>
      <c r="G1" s="671"/>
      <c r="H1" s="671"/>
      <c r="I1" s="671"/>
      <c r="J1" s="698">
        <f ca="1">YEAR(F25)</f>
        <v>2026</v>
      </c>
      <c r="K1" s="698"/>
      <c r="L1" s="698"/>
      <c r="M1" s="698"/>
      <c r="N1" s="698"/>
      <c r="O1" s="698"/>
      <c r="P1" s="698"/>
      <c r="Q1" s="698"/>
      <c r="R1" s="698"/>
      <c r="S1" s="698"/>
      <c r="T1" s="698"/>
      <c r="U1" s="698"/>
      <c r="V1" s="698">
        <f ca="1">+J1+1</f>
        <v>2027</v>
      </c>
      <c r="W1" s="698"/>
      <c r="X1" s="698"/>
      <c r="Y1" s="698"/>
      <c r="Z1" s="698"/>
      <c r="AA1" s="698"/>
      <c r="AB1" s="698"/>
      <c r="AC1" s="698"/>
      <c r="AD1" s="698"/>
      <c r="AE1" s="698"/>
      <c r="AF1" s="698"/>
      <c r="AG1" s="698"/>
      <c r="AH1" s="698">
        <f ca="1">+V1+1</f>
        <v>2028</v>
      </c>
      <c r="AI1" s="698"/>
      <c r="AJ1" s="698"/>
      <c r="AK1" s="698"/>
      <c r="AL1" s="698"/>
      <c r="AM1" s="698"/>
      <c r="AN1" s="698"/>
      <c r="AO1" s="698"/>
      <c r="AP1" s="698"/>
      <c r="AQ1" s="698"/>
      <c r="AR1" s="698"/>
      <c r="AS1" s="698"/>
      <c r="AT1" s="698">
        <f ca="1">+AH1+1</f>
        <v>2029</v>
      </c>
      <c r="AU1" s="698"/>
      <c r="AV1" s="698"/>
      <c r="AW1" s="698"/>
      <c r="AX1" s="698"/>
      <c r="AY1" s="698"/>
      <c r="AZ1" s="698"/>
      <c r="BA1" s="698"/>
      <c r="BB1" s="698"/>
      <c r="BC1" s="698"/>
      <c r="BD1" s="698"/>
      <c r="BE1" s="698"/>
      <c r="BF1" s="109"/>
      <c r="BG1" s="123"/>
      <c r="BH1" s="123"/>
      <c r="BI1" s="123"/>
      <c r="BJ1" s="123"/>
      <c r="BK1" s="123"/>
      <c r="BL1" s="122"/>
      <c r="BM1" s="122"/>
      <c r="BN1" s="122"/>
      <c r="BO1" s="122"/>
      <c r="BP1" s="122"/>
      <c r="BQ1" s="122"/>
      <c r="BR1" s="122"/>
      <c r="BS1" s="122"/>
      <c r="BT1" s="122"/>
      <c r="BU1" s="122"/>
      <c r="BV1" s="122"/>
      <c r="BW1" s="122"/>
      <c r="BX1" s="122"/>
      <c r="BY1" s="122"/>
      <c r="BZ1" s="122"/>
      <c r="CA1" s="122"/>
      <c r="CB1" s="122"/>
      <c r="CC1" s="122"/>
      <c r="CD1" s="122"/>
    </row>
    <row r="2" spans="1:82">
      <c r="A2" t="s">
        <v>74</v>
      </c>
      <c r="B2" s="15" t="s">
        <v>11</v>
      </c>
      <c r="C2" s="15" t="s">
        <v>817</v>
      </c>
      <c r="D2" s="15"/>
      <c r="E2" s="15"/>
      <c r="F2" s="15"/>
      <c r="G2" s="15" t="s">
        <v>847</v>
      </c>
      <c r="H2" s="15" t="s">
        <v>642</v>
      </c>
      <c r="I2" s="15" t="s">
        <v>1046</v>
      </c>
      <c r="J2" s="16" t="s">
        <v>2</v>
      </c>
      <c r="K2" s="16" t="s">
        <v>3</v>
      </c>
      <c r="L2" s="16" t="s">
        <v>4</v>
      </c>
      <c r="M2" s="16" t="s">
        <v>5</v>
      </c>
      <c r="N2" s="16" t="s">
        <v>4</v>
      </c>
      <c r="O2" s="16" t="s">
        <v>2</v>
      </c>
      <c r="P2" s="16" t="s">
        <v>2</v>
      </c>
      <c r="Q2" s="16" t="s">
        <v>5</v>
      </c>
      <c r="R2" s="16" t="s">
        <v>6</v>
      </c>
      <c r="S2" s="16" t="s">
        <v>7</v>
      </c>
      <c r="T2" s="16" t="s">
        <v>8</v>
      </c>
      <c r="U2" s="16" t="s">
        <v>9</v>
      </c>
      <c r="V2" s="16" t="s">
        <v>2</v>
      </c>
      <c r="W2" s="16" t="s">
        <v>3</v>
      </c>
      <c r="X2" s="16" t="s">
        <v>4</v>
      </c>
      <c r="Y2" s="16" t="s">
        <v>5</v>
      </c>
      <c r="Z2" s="16" t="s">
        <v>4</v>
      </c>
      <c r="AA2" s="16" t="s">
        <v>2</v>
      </c>
      <c r="AB2" s="16" t="s">
        <v>2</v>
      </c>
      <c r="AC2" s="16" t="s">
        <v>5</v>
      </c>
      <c r="AD2" s="16" t="s">
        <v>6</v>
      </c>
      <c r="AE2" s="16" t="s">
        <v>7</v>
      </c>
      <c r="AF2" s="16" t="s">
        <v>8</v>
      </c>
      <c r="AG2" s="16" t="s">
        <v>9</v>
      </c>
      <c r="AH2" s="16" t="s">
        <v>2</v>
      </c>
      <c r="AI2" s="16" t="s">
        <v>3</v>
      </c>
      <c r="AJ2" s="16" t="s">
        <v>4</v>
      </c>
      <c r="AK2" s="16" t="s">
        <v>5</v>
      </c>
      <c r="AL2" s="16" t="s">
        <v>4</v>
      </c>
      <c r="AM2" s="16" t="s">
        <v>2</v>
      </c>
      <c r="AN2" s="16" t="s">
        <v>2</v>
      </c>
      <c r="AO2" s="16" t="s">
        <v>5</v>
      </c>
      <c r="AP2" s="16" t="s">
        <v>6</v>
      </c>
      <c r="AQ2" s="16" t="s">
        <v>7</v>
      </c>
      <c r="AR2" s="16" t="s">
        <v>8</v>
      </c>
      <c r="AS2" s="263" t="s">
        <v>9</v>
      </c>
      <c r="AT2" s="16" t="s">
        <v>2</v>
      </c>
      <c r="AU2" s="16" t="s">
        <v>3</v>
      </c>
      <c r="AV2" s="16" t="s">
        <v>4</v>
      </c>
      <c r="AW2" s="16" t="s">
        <v>5</v>
      </c>
      <c r="AX2" s="16" t="s">
        <v>4</v>
      </c>
      <c r="AY2" s="16" t="s">
        <v>2</v>
      </c>
      <c r="AZ2" s="16" t="s">
        <v>2</v>
      </c>
      <c r="BA2" s="16" t="s">
        <v>5</v>
      </c>
      <c r="BB2" s="16" t="s">
        <v>6</v>
      </c>
      <c r="BC2" s="16" t="s">
        <v>7</v>
      </c>
      <c r="BD2" s="16" t="s">
        <v>8</v>
      </c>
      <c r="BE2" s="263" t="s">
        <v>9</v>
      </c>
      <c r="BF2" s="699" t="s">
        <v>760</v>
      </c>
      <c r="BG2" s="701" t="s">
        <v>1005</v>
      </c>
      <c r="BI2" s="122" t="s">
        <v>759</v>
      </c>
      <c r="BJ2" s="122" t="s">
        <v>759</v>
      </c>
      <c r="BL2" s="697" t="s">
        <v>984</v>
      </c>
      <c r="BM2" s="697"/>
      <c r="BN2" s="697"/>
      <c r="BO2" s="697"/>
      <c r="CC2" s="120"/>
      <c r="CD2" s="120"/>
    </row>
    <row r="3" spans="1:82">
      <c r="B3" s="704" t="s">
        <v>728</v>
      </c>
      <c r="C3" s="705"/>
      <c r="D3" s="705"/>
      <c r="E3" s="705"/>
      <c r="F3" s="705"/>
      <c r="G3" s="705"/>
      <c r="H3" s="705"/>
      <c r="I3" s="706"/>
      <c r="J3" s="16">
        <f ca="1">+'4.Team'!J4</f>
        <v>0</v>
      </c>
      <c r="K3" s="16">
        <f ca="1">+'4.Team'!K4</f>
        <v>0</v>
      </c>
      <c r="L3" s="16" t="e">
        <f ca="1">+'4.Team'!L4</f>
        <v>#N/A</v>
      </c>
      <c r="M3" s="16" t="e">
        <f ca="1">+'4.Team'!M4</f>
        <v>#N/A</v>
      </c>
      <c r="N3" s="16" t="e">
        <f ca="1">+'4.Team'!N4</f>
        <v>#N/A</v>
      </c>
      <c r="O3" s="16" t="e">
        <f ca="1">+'4.Team'!O4</f>
        <v>#N/A</v>
      </c>
      <c r="P3" s="16" t="e">
        <f ca="1">+'4.Team'!P4</f>
        <v>#N/A</v>
      </c>
      <c r="Q3" s="16" t="e">
        <f ca="1">+'4.Team'!Q4</f>
        <v>#N/A</v>
      </c>
      <c r="R3" s="16" t="e">
        <f ca="1">+'4.Team'!R4</f>
        <v>#N/A</v>
      </c>
      <c r="S3" s="16" t="e">
        <f ca="1">+'4.Team'!S4</f>
        <v>#N/A</v>
      </c>
      <c r="T3" s="16" t="e">
        <f ca="1">+'4.Team'!T4</f>
        <v>#N/A</v>
      </c>
      <c r="U3" s="16" t="e">
        <f ca="1">+'4.Team'!U4</f>
        <v>#N/A</v>
      </c>
      <c r="V3" s="16" t="e">
        <f ca="1">+'4.Team'!V4</f>
        <v>#N/A</v>
      </c>
      <c r="W3" s="16" t="e">
        <f ca="1">+'4.Team'!W4</f>
        <v>#N/A</v>
      </c>
      <c r="X3" s="16" t="e">
        <f ca="1">+'4.Team'!X4</f>
        <v>#N/A</v>
      </c>
      <c r="Y3" s="16" t="e">
        <f ca="1">+'4.Team'!Y4</f>
        <v>#N/A</v>
      </c>
      <c r="Z3" s="16" t="e">
        <f ca="1">+'4.Team'!Z4</f>
        <v>#N/A</v>
      </c>
      <c r="AA3" s="16" t="e">
        <f ca="1">+'4.Team'!AA4</f>
        <v>#N/A</v>
      </c>
      <c r="AB3" s="16" t="e">
        <f ca="1">+'4.Team'!AB4</f>
        <v>#N/A</v>
      </c>
      <c r="AC3" s="16" t="e">
        <f ca="1">+'4.Team'!AC4</f>
        <v>#N/A</v>
      </c>
      <c r="AD3" s="16" t="e">
        <f ca="1">+'4.Team'!AD4</f>
        <v>#N/A</v>
      </c>
      <c r="AE3" s="16" t="e">
        <f ca="1">+'4.Team'!AE4</f>
        <v>#N/A</v>
      </c>
      <c r="AF3" s="16" t="e">
        <f ca="1">+'4.Team'!AF4</f>
        <v>#N/A</v>
      </c>
      <c r="AG3" s="16" t="e">
        <f ca="1">+'4.Team'!AG4</f>
        <v>#N/A</v>
      </c>
      <c r="AH3" s="16" t="e">
        <f ca="1">+'4.Team'!AH4</f>
        <v>#N/A</v>
      </c>
      <c r="AI3" s="16" t="e">
        <f ca="1">+'4.Team'!AI4</f>
        <v>#N/A</v>
      </c>
      <c r="AJ3" s="16" t="e">
        <f ca="1">+'4.Team'!AJ4</f>
        <v>#N/A</v>
      </c>
      <c r="AK3" s="16" t="e">
        <f ca="1">+'4.Team'!AK4</f>
        <v>#N/A</v>
      </c>
      <c r="AL3" s="16" t="e">
        <f ca="1">+'4.Team'!AL4</f>
        <v>#N/A</v>
      </c>
      <c r="AM3" s="16" t="e">
        <f ca="1">+'4.Team'!AM4</f>
        <v>#N/A</v>
      </c>
      <c r="AN3" s="16" t="e">
        <f ca="1">+'4.Team'!AN4</f>
        <v>#N/A</v>
      </c>
      <c r="AO3" s="16" t="e">
        <f ca="1">+'4.Team'!AO4</f>
        <v>#N/A</v>
      </c>
      <c r="AP3" s="16" t="e">
        <f ca="1">+'4.Team'!AP4</f>
        <v>#N/A</v>
      </c>
      <c r="AQ3" s="16" t="e">
        <f ca="1">+'4.Team'!AQ4</f>
        <v>#N/A</v>
      </c>
      <c r="AR3" s="16" t="e">
        <f ca="1">+'4.Team'!AR4</f>
        <v>#N/A</v>
      </c>
      <c r="AS3" s="263" t="e">
        <f ca="1">+'4.Team'!AS4</f>
        <v>#N/A</v>
      </c>
      <c r="AT3" s="263" t="e">
        <f ca="1">+'4.Team'!AT4</f>
        <v>#N/A</v>
      </c>
      <c r="AU3" s="263" t="e">
        <f ca="1">+'4.Team'!AU4</f>
        <v>#N/A</v>
      </c>
      <c r="AV3" s="263" t="e">
        <f ca="1">+'4.Team'!AV4</f>
        <v>#N/A</v>
      </c>
      <c r="AW3" s="263" t="e">
        <f ca="1">+'4.Team'!AW4</f>
        <v>#N/A</v>
      </c>
      <c r="AX3" s="263" t="e">
        <f ca="1">+'4.Team'!AX4</f>
        <v>#N/A</v>
      </c>
      <c r="AY3" s="263" t="e">
        <f ca="1">+'4.Team'!AY4</f>
        <v>#N/A</v>
      </c>
      <c r="AZ3" s="263" t="e">
        <f ca="1">+'4.Team'!AZ4</f>
        <v>#N/A</v>
      </c>
      <c r="BA3" s="263" t="e">
        <f ca="1">+'4.Team'!BA4</f>
        <v>#N/A</v>
      </c>
      <c r="BB3" s="263" t="e">
        <f ca="1">+'4.Team'!BB4</f>
        <v>#N/A</v>
      </c>
      <c r="BC3" s="263" t="e">
        <f ca="1">+'4.Team'!BC4</f>
        <v>#N/A</v>
      </c>
      <c r="BD3" s="263" t="e">
        <f ca="1">+'4.Team'!BD4</f>
        <v>#N/A</v>
      </c>
      <c r="BE3" s="263" t="e">
        <f ca="1">+'4.Team'!BE4</f>
        <v>#N/A</v>
      </c>
      <c r="BF3" s="700"/>
      <c r="BG3" s="702"/>
      <c r="BK3" s="122" t="s">
        <v>940</v>
      </c>
      <c r="BL3" s="120">
        <f ca="1">+J1</f>
        <v>2026</v>
      </c>
      <c r="BM3" s="120">
        <f ca="1">+BL3+1</f>
        <v>2027</v>
      </c>
      <c r="BN3" s="120">
        <f t="shared" ref="BN3:BO3" ca="1" si="0">+BM3+1</f>
        <v>2028</v>
      </c>
      <c r="BO3" s="120">
        <f t="shared" ca="1" si="0"/>
        <v>2029</v>
      </c>
    </row>
    <row r="4" spans="1:82">
      <c r="A4" t="s">
        <v>18</v>
      </c>
      <c r="B4" s="3" t="s">
        <v>818</v>
      </c>
      <c r="C4" s="106"/>
      <c r="D4" s="106"/>
      <c r="E4" s="106"/>
      <c r="F4" s="107"/>
      <c r="G4" s="108"/>
      <c r="H4" s="108"/>
      <c r="I4" s="10">
        <f>+H4</f>
        <v>0</v>
      </c>
      <c r="J4" s="8">
        <f ca="1">IF(G4="",0,IF($G4=J$25,1,0))*J$26</f>
        <v>0</v>
      </c>
      <c r="K4" s="8">
        <f ca="1">IF(G4=K$24,1,IF((G4+H4)&lt;3,0,IF(G4&gt;K$24,0,1)))*K$26</f>
        <v>0</v>
      </c>
      <c r="L4" s="8" t="e">
        <f ca="1">(IF(SUM($J4:K4)&gt;($H4-1),0,IF($G4=L$24,1,IF(SUM($J4:K4)=0,0,1))))*L$26</f>
        <v>#N/A</v>
      </c>
      <c r="M4" s="8" t="e">
        <f ca="1">(IF(SUM($J4:L4)&gt;($H4-1),0,IF($G4=M$24,1,IF(SUM($J4:L4)=0,0,1))))*M$26</f>
        <v>#N/A</v>
      </c>
      <c r="N4" s="8" t="e">
        <f ca="1">(IF(SUM($J4:M4)&gt;($H4-1),0,IF($G4=N$24,1,IF(SUM($J4:M4)=0,0,1))))*N$26</f>
        <v>#N/A</v>
      </c>
      <c r="O4" s="8" t="e">
        <f ca="1">(IF(SUM($J4:N4)&gt;($H4-1),0,IF($G4=O$24,1,IF(SUM($J4:N4)=0,0,1))))*O$26</f>
        <v>#N/A</v>
      </c>
      <c r="P4" s="8" t="e">
        <f ca="1">(IF(SUM($J4:O4)&gt;($H4-1),0,IF($G4=P$24,1,IF(SUM($J4:O4)=0,0,1))))*P$26</f>
        <v>#N/A</v>
      </c>
      <c r="Q4" s="8" t="e">
        <f ca="1">(IF(SUM($J4:P4)&gt;($H4-1),0,IF($G4=Q$24,1,IF(SUM($J4:P4)=0,0,1))))*Q$26</f>
        <v>#N/A</v>
      </c>
      <c r="R4" s="8" t="e">
        <f ca="1">(IF(SUM($J4:Q4)&gt;($H4-1),0,IF($G4=R$24,1,IF(SUM($J4:Q4)=0,0,1))))*R$26</f>
        <v>#N/A</v>
      </c>
      <c r="S4" s="8" t="e">
        <f ca="1">(IF(SUM($J4:R4)&gt;($H4-1),0,IF($G4=S$24,1,IF(SUM($J4:R4)=0,0,1))))*S$26</f>
        <v>#N/A</v>
      </c>
      <c r="T4" s="8" t="e">
        <f ca="1">(IF(SUM($J4:S4)&gt;($H4-1),0,IF($G4=T$24,1,IF(SUM($J4:S4)=0,0,1))))*T$26</f>
        <v>#N/A</v>
      </c>
      <c r="U4" s="8" t="e">
        <f ca="1">(IF(SUM($J4:T4)&gt;($H4-1),0,IF($G4=U$24,1,IF(SUM($J4:T4)=0,0,1))))*U$26</f>
        <v>#N/A</v>
      </c>
      <c r="V4" s="8" t="e">
        <f ca="1">(IF(SUM($J4:U4)&gt;($H4-1),0,IF($G4=V$24,1,IF(SUM($J4:U4)=0,0,1))))*V$26</f>
        <v>#N/A</v>
      </c>
      <c r="W4" s="8" t="e">
        <f ca="1">(IF(SUM($J4:V4)&gt;($H4-1),0,IF($G4=W$24,1,IF(SUM($J4:V4)=0,0,1))))*W$26</f>
        <v>#N/A</v>
      </c>
      <c r="X4" s="8" t="e">
        <f ca="1">(IF(SUM($J4:W4)&gt;($H4-1),0,IF($G4=X$24,1,IF(SUM($J4:W4)=0,0,1))))*X$26</f>
        <v>#N/A</v>
      </c>
      <c r="Y4" s="8" t="e">
        <f ca="1">(IF(SUM($J4:X4)&gt;($H4-1),0,IF($G4=Y$24,1,IF(SUM($J4:X4)=0,0,1))))*Y$26</f>
        <v>#N/A</v>
      </c>
      <c r="Z4" s="8" t="e">
        <f ca="1">(IF(SUM($J4:Y4)&gt;($H4-1),0,IF($G4=Z$24,1,IF(SUM($J4:Y4)=0,0,1))))*Z$26</f>
        <v>#N/A</v>
      </c>
      <c r="AA4" s="8" t="e">
        <f ca="1">(IF(SUM($J4:Z4)&gt;($H4-1),0,IF($G4=AA$24,1,IF(SUM($J4:Z4)=0,0,1))))*AA$26</f>
        <v>#N/A</v>
      </c>
      <c r="AB4" s="8" t="e">
        <f ca="1">(IF(SUM($J4:AA4)&gt;($H4-1),0,IF($G4=AB$24,1,IF(SUM($J4:AA4)=0,0,1))))*AB$26</f>
        <v>#N/A</v>
      </c>
      <c r="AC4" s="8" t="e">
        <f ca="1">(IF(SUM($J4:AB4)&gt;($H4-1),0,IF($G4=AC$24,1,IF(SUM($J4:AB4)=0,0,1))))*AC$26</f>
        <v>#N/A</v>
      </c>
      <c r="AD4" s="8" t="e">
        <f ca="1">(IF(SUM($J4:AC4)&gt;($H4-1),0,IF($G4=AD$24,1,IF(SUM($J4:AC4)=0,0,1))))*AD$26</f>
        <v>#N/A</v>
      </c>
      <c r="AE4" s="8" t="e">
        <f ca="1">(IF(SUM($J4:AD4)&gt;($H4-1),0,IF($G4=AE$24,1,IF(SUM($J4:AD4)=0,0,1))))*AE$26</f>
        <v>#N/A</v>
      </c>
      <c r="AF4" s="8" t="e">
        <f ca="1">(IF(SUM($J4:AE4)&gt;($H4-1),0,IF($G4=AF$24,1,IF(SUM($J4:AE4)=0,0,1))))*AF$26</f>
        <v>#N/A</v>
      </c>
      <c r="AG4" s="8" t="e">
        <f ca="1">(IF(SUM($J4:AF4)&gt;($H4-1),0,IF($G4=AG$24,1,IF(SUM($J4:AF4)=0,0,1))))*AG$26</f>
        <v>#N/A</v>
      </c>
      <c r="AH4" s="8" t="e">
        <f ca="1">(IF(SUM($J4:AG4)&gt;($H4-1),0,IF($G4=AH$24,1,IF(SUM($J4:AG4)=0,0,1))))*AH$26</f>
        <v>#N/A</v>
      </c>
      <c r="AI4" s="8" t="e">
        <f ca="1">(IF(SUM($J4:AH4)&gt;($H4-1),0,IF($G4=AI$24,1,IF(SUM($J4:AH4)=0,0,1))))*AI$26</f>
        <v>#N/A</v>
      </c>
      <c r="AJ4" s="8" t="e">
        <f ca="1">(IF(SUM($J4:AI4)&gt;($H4-1),0,IF($G4=AJ$24,1,IF(SUM($J4:AI4)=0,0,1))))*AJ$26</f>
        <v>#N/A</v>
      </c>
      <c r="AK4" s="8" t="e">
        <f ca="1">(IF(SUM($J4:AJ4)&gt;($H4-1),0,IF($G4=AK$24,1,IF(SUM($J4:AJ4)=0,0,1))))*AK$26</f>
        <v>#N/A</v>
      </c>
      <c r="AL4" s="8" t="e">
        <f ca="1">(IF(SUM($J4:AK4)&gt;($H4-1),0,IF($G4=AL$24,1,IF(SUM($J4:AK4)=0,0,1))))*AL$26</f>
        <v>#N/A</v>
      </c>
      <c r="AM4" s="8" t="e">
        <f ca="1">(IF(SUM($J4:AL4)&gt;($H4-1),0,IF($G4=AM$24,1,IF(SUM($J4:AL4)=0,0,1))))*AM$26</f>
        <v>#N/A</v>
      </c>
      <c r="AN4" s="8" t="e">
        <f ca="1">(IF(SUM($J4:AM4)&gt;($H4-1),0,IF($G4=AN$24,1,IF(SUM($J4:AM4)=0,0,1))))*AN$26</f>
        <v>#N/A</v>
      </c>
      <c r="AO4" s="8" t="e">
        <f ca="1">(IF(SUM($J4:AN4)&gt;($H4-1),0,IF($G4=AO$24,1,IF(SUM($J4:AN4)=0,0,1))))*AO$26</f>
        <v>#N/A</v>
      </c>
      <c r="AP4" s="8" t="e">
        <f ca="1">(IF(SUM($J4:AO4)&gt;($H4-1),0,IF($G4=AP$24,1,IF(SUM($J4:AO4)=0,0,1))))*AP$26</f>
        <v>#N/A</v>
      </c>
      <c r="AQ4" s="8" t="e">
        <f ca="1">(IF(SUM($J4:AP4)&gt;($H4-1),0,IF($G4=AQ$24,1,IF(SUM($J4:AP4)=0,0,1))))*AQ$26</f>
        <v>#N/A</v>
      </c>
      <c r="AR4" s="8" t="e">
        <f ca="1">(IF(SUM($J4:AQ4)&gt;($H4-1),0,IF($G4=AR$24,1,IF(SUM($J4:AQ4)=0,0,1))))*AR$26</f>
        <v>#N/A</v>
      </c>
      <c r="AS4" s="8" t="e">
        <f ca="1">(IF(SUM($J4:AR4)&gt;($H4-1),0,IF($G4=AS$24,1,IF(SUM($J4:AR4)=0,0,1))))*AS$26</f>
        <v>#N/A</v>
      </c>
      <c r="AT4" s="8" t="e">
        <f ca="1">(IF(SUM($J4:AS4)&gt;($H4-1),0,IF($G4=AT$24,1,IF(SUM($J4:AS4)=0,0,1))))*AT$26</f>
        <v>#N/A</v>
      </c>
      <c r="AU4" s="8" t="e">
        <f ca="1">(IF(SUM($J4:AT4)&gt;($H4-1),0,IF($G4=AU$24,1,IF(SUM($J4:AT4)=0,0,1))))*AU$26</f>
        <v>#N/A</v>
      </c>
      <c r="AV4" s="8" t="e">
        <f ca="1">(IF(SUM($J4:AU4)&gt;($H4-1),0,IF($G4=AV$24,1,IF(SUM($J4:AU4)=0,0,1))))*AV$26</f>
        <v>#N/A</v>
      </c>
      <c r="AW4" s="8" t="e">
        <f ca="1">(IF(SUM($J4:AV4)&gt;($H4-1),0,IF($G4=AW$24,1,IF(SUM($J4:AV4)=0,0,1))))*AW$26</f>
        <v>#N/A</v>
      </c>
      <c r="AX4" s="8" t="e">
        <f ca="1">(IF(SUM($J4:AW4)&gt;($H4-1),0,IF($G4=AX$24,1,IF(SUM($J4:AW4)=0,0,1))))*AX$26</f>
        <v>#N/A</v>
      </c>
      <c r="AY4" s="8" t="e">
        <f ca="1">(IF(SUM($J4:AX4)&gt;($H4-1),0,IF($G4=AY$24,1,IF(SUM($J4:AX4)=0,0,1))))*AY$26</f>
        <v>#N/A</v>
      </c>
      <c r="AZ4" s="8" t="e">
        <f ca="1">(IF(SUM($J4:AY4)&gt;($H4-1),0,IF($G4=AZ$24,1,IF(SUM($J4:AY4)=0,0,1))))*AZ$26</f>
        <v>#N/A</v>
      </c>
      <c r="BA4" s="8" t="e">
        <f ca="1">(IF(SUM($J4:AZ4)&gt;($H4-1),0,IF($G4=BA$24,1,IF(SUM($J4:AZ4)=0,0,1))))*BA$26</f>
        <v>#N/A</v>
      </c>
      <c r="BB4" s="8" t="e">
        <f ca="1">(IF(SUM($J4:BA4)&gt;($H4-1),0,IF($G4=BB$24,1,IF(SUM($J4:BA4)=0,0,1))))*BB$26</f>
        <v>#N/A</v>
      </c>
      <c r="BC4" s="8" t="e">
        <f ca="1">(IF(SUM($J4:BB4)&gt;($H4-1),0,IF($G4=BC$24,1,IF(SUM($J4:BB4)=0,0,1))))*BC$26</f>
        <v>#N/A</v>
      </c>
      <c r="BD4" s="8" t="e">
        <f ca="1">(IF(SUM($J4:BC4)&gt;($H4-1),0,IF($G4=BD$24,1,IF(SUM($J4:BC4)=0,0,1))))*BD$26</f>
        <v>#N/A</v>
      </c>
      <c r="BE4" s="8" t="e">
        <f ca="1">(IF(SUM($J4:BD4)&gt;($H4-1),0,IF($G4=BE$24,1,IF(SUM($J4:BD4)=0,0,1))))*BE$26</f>
        <v>#N/A</v>
      </c>
      <c r="BF4" s="119" t="str">
        <f>IF('1.G.Data'!C$14="","Alert: Fill Duration (months) on sheet 1. G.DATA",IF(G4="","",IF(H4&gt;BG4,$BJ$4,CONCATENATE($BI$10,BG4,$BI$11))))</f>
        <v/>
      </c>
      <c r="BG4" s="566">
        <f>IF(G4="",0,'1.G.Data'!C$14+1-'3.Tasks'!G4)</f>
        <v>0</v>
      </c>
      <c r="BI4" s="122" t="s">
        <v>758</v>
      </c>
      <c r="BJ4" s="122" t="s">
        <v>1047</v>
      </c>
      <c r="BK4" s="122" t="str">
        <f>IF(I4&gt;0,B4,"N/A")</f>
        <v>N/A</v>
      </c>
      <c r="BL4" s="120" t="e">
        <f ca="1">SUM(J4:U4)</f>
        <v>#N/A</v>
      </c>
      <c r="BM4" s="120" t="e">
        <f ca="1">SUM(V4:AG4)</f>
        <v>#N/A</v>
      </c>
      <c r="BN4" s="120" t="e">
        <f ca="1">SUM(AH4:AS4)</f>
        <v>#N/A</v>
      </c>
      <c r="BO4" s="120" t="e">
        <f ca="1">SUM(AT4:BE4)</f>
        <v>#N/A</v>
      </c>
    </row>
    <row r="5" spans="1:82">
      <c r="A5" t="s">
        <v>19</v>
      </c>
      <c r="B5" s="3" t="s">
        <v>819</v>
      </c>
      <c r="C5" s="106"/>
      <c r="D5" s="106"/>
      <c r="E5" s="106"/>
      <c r="F5" s="107"/>
      <c r="G5" s="108"/>
      <c r="H5" s="108"/>
      <c r="I5" s="10">
        <f t="shared" ref="I5:I23" si="1">+H5</f>
        <v>0</v>
      </c>
      <c r="J5" s="8">
        <f t="shared" ref="J5:J23" ca="1" si="2">IF(G5="",0,IF($G5=J$25,1,0))*J$26</f>
        <v>0</v>
      </c>
      <c r="K5" s="8">
        <f t="shared" ref="K5:K23" ca="1" si="3">IF(G5=K$24,1,IF((G5+H5)&lt;3,0,IF(G5&gt;K$24,0,1)))*K$26</f>
        <v>0</v>
      </c>
      <c r="L5" s="8" t="e">
        <f ca="1">(IF(SUM($J5:K5)&gt;($H5-1),0,IF($G5=L$24,1,IF(SUM($J5:K5)=0,0,1))))*L$26</f>
        <v>#N/A</v>
      </c>
      <c r="M5" s="8" t="e">
        <f ca="1">(IF(SUM($J5:L5)&gt;($H5-1),0,IF($G5=M$24,1,IF(SUM($J5:L5)=0,0,1))))*M$26</f>
        <v>#N/A</v>
      </c>
      <c r="N5" s="8" t="e">
        <f ca="1">(IF(SUM($J5:M5)&gt;($H5-1),0,IF($G5=N$24,1,IF(SUM($J5:M5)=0,0,1))))*N$26</f>
        <v>#N/A</v>
      </c>
      <c r="O5" s="8" t="e">
        <f ca="1">(IF(SUM($J5:N5)&gt;($H5-1),0,IF($G5=O$24,1,IF(SUM($J5:N5)=0,0,1))))*O$26</f>
        <v>#N/A</v>
      </c>
      <c r="P5" s="8" t="e">
        <f ca="1">(IF(SUM($J5:O5)&gt;($H5-1),0,IF($G5=P$24,1,IF(SUM($J5:O5)=0,0,1))))*P$26</f>
        <v>#N/A</v>
      </c>
      <c r="Q5" s="8" t="e">
        <f ca="1">(IF(SUM($J5:P5)&gt;($H5-1),0,IF($G5=Q$24,1,IF(SUM($J5:P5)=0,0,1))))*Q$26</f>
        <v>#N/A</v>
      </c>
      <c r="R5" s="8" t="e">
        <f ca="1">(IF(SUM($J5:Q5)&gt;($H5-1),0,IF($G5=R$24,1,IF(SUM($J5:Q5)=0,0,1))))*R$26</f>
        <v>#N/A</v>
      </c>
      <c r="S5" s="8" t="e">
        <f ca="1">(IF(SUM($J5:R5)&gt;($H5-1),0,IF($G5=S$24,1,IF(SUM($J5:R5)=0,0,1))))*S$26</f>
        <v>#N/A</v>
      </c>
      <c r="T5" s="8" t="e">
        <f ca="1">(IF(SUM($J5:S5)&gt;($H5-1),0,IF($G5=T$24,1,IF(SUM($J5:S5)=0,0,1))))*T$26</f>
        <v>#N/A</v>
      </c>
      <c r="U5" s="8" t="e">
        <f ca="1">(IF(SUM($J5:T5)&gt;($H5-1),0,IF($G5=U$24,1,IF(SUM($J5:T5)=0,0,1))))*U$26</f>
        <v>#N/A</v>
      </c>
      <c r="V5" s="8" t="e">
        <f ca="1">(IF(SUM($J5:U5)&gt;($H5-1),0,IF($G5=V$24,1,IF(SUM($J5:U5)=0,0,1))))*V$26</f>
        <v>#N/A</v>
      </c>
      <c r="W5" s="8" t="e">
        <f ca="1">(IF(SUM($J5:V5)&gt;($H5-1),0,IF($G5=W$24,1,IF(SUM($J5:V5)=0,0,1))))*W$26</f>
        <v>#N/A</v>
      </c>
      <c r="X5" s="8" t="e">
        <f ca="1">(IF(SUM($J5:W5)&gt;($H5-1),0,IF($G5=X$24,1,IF(SUM($J5:W5)=0,0,1))))*X$26</f>
        <v>#N/A</v>
      </c>
      <c r="Y5" s="8" t="e">
        <f ca="1">(IF(SUM($J5:X5)&gt;($H5-1),0,IF($G5=Y$24,1,IF(SUM($J5:X5)=0,0,1))))*Y$26</f>
        <v>#N/A</v>
      </c>
      <c r="Z5" s="8" t="e">
        <f ca="1">(IF(SUM($J5:Y5)&gt;($H5-1),0,IF($G5=Z$24,1,IF(SUM($J5:Y5)=0,0,1))))*Z$26</f>
        <v>#N/A</v>
      </c>
      <c r="AA5" s="8" t="e">
        <f ca="1">(IF(SUM($J5:Z5)&gt;($H5-1),0,IF($G5=AA$24,1,IF(SUM($J5:Z5)=0,0,1))))*AA$26</f>
        <v>#N/A</v>
      </c>
      <c r="AB5" s="8" t="e">
        <f ca="1">(IF(SUM($J5:AA5)&gt;($H5-1),0,IF($G5=AB$24,1,IF(SUM($J5:AA5)=0,0,1))))*AB$26</f>
        <v>#N/A</v>
      </c>
      <c r="AC5" s="8" t="e">
        <f ca="1">(IF(SUM($J5:AB5)&gt;($H5-1),0,IF($G5=AC$24,1,IF(SUM($J5:AB5)=0,0,1))))*AC$26</f>
        <v>#N/A</v>
      </c>
      <c r="AD5" s="8" t="e">
        <f ca="1">(IF(SUM($J5:AC5)&gt;($H5-1),0,IF($G5=AD$24,1,IF(SUM($J5:AC5)=0,0,1))))*AD$26</f>
        <v>#N/A</v>
      </c>
      <c r="AE5" s="8" t="e">
        <f ca="1">(IF(SUM($J5:AD5)&gt;($H5-1),0,IF($G5=AE$24,1,IF(SUM($J5:AD5)=0,0,1))))*AE$26</f>
        <v>#N/A</v>
      </c>
      <c r="AF5" s="8" t="e">
        <f ca="1">(IF(SUM($J5:AE5)&gt;($H5-1),0,IF($G5=AF$24,1,IF(SUM($J5:AE5)=0,0,1))))*AF$26</f>
        <v>#N/A</v>
      </c>
      <c r="AG5" s="8" t="e">
        <f ca="1">(IF(SUM($J5:AF5)&gt;($H5-1),0,IF($G5=AG$24,1,IF(SUM($J5:AF5)=0,0,1))))*AG$26</f>
        <v>#N/A</v>
      </c>
      <c r="AH5" s="8" t="e">
        <f ca="1">(IF(SUM($J5:AG5)&gt;($H5-1),0,IF($G5=AH$24,1,IF(SUM($J5:AG5)=0,0,1))))*AH$26</f>
        <v>#N/A</v>
      </c>
      <c r="AI5" s="8" t="e">
        <f ca="1">(IF(SUM($J5:AH5)&gt;($H5-1),0,IF($G5=AI$24,1,IF(SUM($J5:AH5)=0,0,1))))*AI$26</f>
        <v>#N/A</v>
      </c>
      <c r="AJ5" s="8" t="e">
        <f ca="1">(IF(SUM($J5:AI5)&gt;($H5-1),0,IF($G5=AJ$24,1,IF(SUM($J5:AI5)=0,0,1))))*AJ$26</f>
        <v>#N/A</v>
      </c>
      <c r="AK5" s="8" t="e">
        <f ca="1">(IF(SUM($J5:AJ5)&gt;($H5-1),0,IF($G5=AK$24,1,IF(SUM($J5:AJ5)=0,0,1))))*AK$26</f>
        <v>#N/A</v>
      </c>
      <c r="AL5" s="8" t="e">
        <f ca="1">(IF(SUM($J5:AK5)&gt;($H5-1),0,IF($G5=AL$24,1,IF(SUM($J5:AK5)=0,0,1))))*AL$26</f>
        <v>#N/A</v>
      </c>
      <c r="AM5" s="8" t="e">
        <f ca="1">(IF(SUM($J5:AL5)&gt;($H5-1),0,IF($G5=AM$24,1,IF(SUM($J5:AL5)=0,0,1))))*AM$26</f>
        <v>#N/A</v>
      </c>
      <c r="AN5" s="8" t="e">
        <f ca="1">(IF(SUM($J5:AM5)&gt;($H5-1),0,IF($G5=AN$24,1,IF(SUM($J5:AM5)=0,0,1))))*AN$26</f>
        <v>#N/A</v>
      </c>
      <c r="AO5" s="8" t="e">
        <f ca="1">(IF(SUM($J5:AN5)&gt;($H5-1),0,IF($G5=AO$24,1,IF(SUM($J5:AN5)=0,0,1))))*AO$26</f>
        <v>#N/A</v>
      </c>
      <c r="AP5" s="8" t="e">
        <f ca="1">(IF(SUM($J5:AO5)&gt;($H5-1),0,IF($G5=AP$24,1,IF(SUM($J5:AO5)=0,0,1))))*AP$26</f>
        <v>#N/A</v>
      </c>
      <c r="AQ5" s="8" t="e">
        <f ca="1">(IF(SUM($J5:AP5)&gt;($H5-1),0,IF($G5=AQ$24,1,IF(SUM($J5:AP5)=0,0,1))))*AQ$26</f>
        <v>#N/A</v>
      </c>
      <c r="AR5" s="8" t="e">
        <f ca="1">(IF(SUM($J5:AQ5)&gt;($H5-1),0,IF($G5=AR$24,1,IF(SUM($J5:AQ5)=0,0,1))))*AR$26</f>
        <v>#N/A</v>
      </c>
      <c r="AS5" s="8" t="e">
        <f ca="1">(IF(SUM($J5:AR5)&gt;($H5-1),0,IF($G5=AS$24,1,IF(SUM($J5:AR5)=0,0,1))))*AS$26</f>
        <v>#N/A</v>
      </c>
      <c r="AT5" s="8" t="e">
        <f ca="1">(IF(SUM($J5:AS5)&gt;($H5-1),0,IF($G5=AT$24,1,IF(SUM($J5:AS5)=0,0,1))))*AT$26</f>
        <v>#N/A</v>
      </c>
      <c r="AU5" s="8" t="e">
        <f ca="1">(IF(SUM($J5:AT5)&gt;($H5-1),0,IF($G5=AU$24,1,IF(SUM($J5:AT5)=0,0,1))))*AU$26</f>
        <v>#N/A</v>
      </c>
      <c r="AV5" s="8" t="e">
        <f ca="1">(IF(SUM($J5:AU5)&gt;($H5-1),0,IF($G5=AV$24,1,IF(SUM($J5:AU5)=0,0,1))))*AV$26</f>
        <v>#N/A</v>
      </c>
      <c r="AW5" s="8" t="e">
        <f ca="1">(IF(SUM($J5:AV5)&gt;($H5-1),0,IF($G5=AW$24,1,IF(SUM($J5:AV5)=0,0,1))))*AW$26</f>
        <v>#N/A</v>
      </c>
      <c r="AX5" s="8" t="e">
        <f ca="1">(IF(SUM($J5:AW5)&gt;($H5-1),0,IF($G5=AX$24,1,IF(SUM($J5:AW5)=0,0,1))))*AX$26</f>
        <v>#N/A</v>
      </c>
      <c r="AY5" s="8" t="e">
        <f ca="1">(IF(SUM($J5:AX5)&gt;($H5-1),0,IF($G5=AY$24,1,IF(SUM($J5:AX5)=0,0,1))))*AY$26</f>
        <v>#N/A</v>
      </c>
      <c r="AZ5" s="8" t="e">
        <f ca="1">(IF(SUM($J5:AY5)&gt;($H5-1),0,IF($G5=AZ$24,1,IF(SUM($J5:AY5)=0,0,1))))*AZ$26</f>
        <v>#N/A</v>
      </c>
      <c r="BA5" s="8" t="e">
        <f ca="1">(IF(SUM($J5:AZ5)&gt;($H5-1),0,IF($G5=BA$24,1,IF(SUM($J5:AZ5)=0,0,1))))*BA$26</f>
        <v>#N/A</v>
      </c>
      <c r="BB5" s="8" t="e">
        <f ca="1">(IF(SUM($J5:BA5)&gt;($H5-1),0,IF($G5=BB$24,1,IF(SUM($J5:BA5)=0,0,1))))*BB$26</f>
        <v>#N/A</v>
      </c>
      <c r="BC5" s="8" t="e">
        <f ca="1">(IF(SUM($J5:BB5)&gt;($H5-1),0,IF($G5=BC$24,1,IF(SUM($J5:BB5)=0,0,1))))*BC$26</f>
        <v>#N/A</v>
      </c>
      <c r="BD5" s="8" t="e">
        <f ca="1">(IF(SUM($J5:BC5)&gt;($H5-1),0,IF($G5=BD$24,1,IF(SUM($J5:BC5)=0,0,1))))*BD$26</f>
        <v>#N/A</v>
      </c>
      <c r="BE5" s="8" t="e">
        <f ca="1">(IF(SUM($J5:BD5)&gt;($H5-1),0,IF($G5=BE$24,1,IF(SUM($J5:BD5)=0,0,1))))*BE$26</f>
        <v>#N/A</v>
      </c>
      <c r="BF5" s="119" t="str">
        <f>IF('1.G.Data'!C$14="","Alert: Fill Duration (months) on sheet 1. G.DATA",IF(G5="","",IF(H5&gt;BG5,$BJ$4,CONCATENATE($BI$10,BG5,$BI$11))))</f>
        <v/>
      </c>
      <c r="BG5" s="566">
        <f>IF(G5="",0,'1.G.Data'!C$14+1-'3.Tasks'!G5)</f>
        <v>0</v>
      </c>
      <c r="BK5" s="122" t="str">
        <f t="shared" ref="BK5:BK23" si="4">IF(I5&gt;0,B5,"N/A")</f>
        <v>N/A</v>
      </c>
      <c r="BL5" s="120" t="e">
        <f t="shared" ref="BL5:BL28" ca="1" si="5">SUM(J5:U5)</f>
        <v>#N/A</v>
      </c>
      <c r="BM5" s="120" t="e">
        <f t="shared" ref="BM5:BM28" ca="1" si="6">SUM(V5:AG5)</f>
        <v>#N/A</v>
      </c>
      <c r="BN5" s="120" t="e">
        <f t="shared" ref="BN5:BN28" ca="1" si="7">SUM(AH5:AS5)</f>
        <v>#N/A</v>
      </c>
      <c r="BO5" s="120" t="e">
        <f t="shared" ref="BO5:BO28" ca="1" si="8">SUM(AT5:BE5)</f>
        <v>#N/A</v>
      </c>
    </row>
    <row r="6" spans="1:82">
      <c r="A6" t="s">
        <v>20</v>
      </c>
      <c r="B6" s="3" t="s">
        <v>820</v>
      </c>
      <c r="C6" s="106"/>
      <c r="D6" s="106"/>
      <c r="E6" s="106"/>
      <c r="F6" s="107"/>
      <c r="G6" s="108"/>
      <c r="H6" s="108"/>
      <c r="I6" s="10">
        <f t="shared" si="1"/>
        <v>0</v>
      </c>
      <c r="J6" s="8">
        <f t="shared" ca="1" si="2"/>
        <v>0</v>
      </c>
      <c r="K6" s="8">
        <f t="shared" ca="1" si="3"/>
        <v>0</v>
      </c>
      <c r="L6" s="8" t="e">
        <f ca="1">(IF(SUM($J6:K6)&gt;($H6-1),0,IF($G6=L$24,1,IF(SUM($J6:K6)=0,0,1))))*L$26</f>
        <v>#N/A</v>
      </c>
      <c r="M6" s="8" t="e">
        <f ca="1">(IF(SUM($J6:L6)&gt;($H6-1),0,IF($G6=M$24,1,IF(SUM($J6:L6)=0,0,1))))*M$26</f>
        <v>#N/A</v>
      </c>
      <c r="N6" s="8" t="e">
        <f ca="1">(IF(SUM($J6:M6)&gt;($H6-1),0,IF($G6=N$24,1,IF(SUM($J6:M6)=0,0,1))))*N$26</f>
        <v>#N/A</v>
      </c>
      <c r="O6" s="8" t="e">
        <f ca="1">(IF(SUM($J6:N6)&gt;($H6-1),0,IF($G6=O$24,1,IF(SUM($J6:N6)=0,0,1))))*O$26</f>
        <v>#N/A</v>
      </c>
      <c r="P6" s="8" t="e">
        <f ca="1">(IF(SUM($J6:O6)&gt;($H6-1),0,IF($G6=P$24,1,IF(SUM($J6:O6)=0,0,1))))*P$26</f>
        <v>#N/A</v>
      </c>
      <c r="Q6" s="8" t="e">
        <f ca="1">(IF(SUM($J6:P6)&gt;($H6-1),0,IF($G6=Q$24,1,IF(SUM($J6:P6)=0,0,1))))*Q$26</f>
        <v>#N/A</v>
      </c>
      <c r="R6" s="8" t="e">
        <f ca="1">(IF(SUM($J6:Q6)&gt;($H6-1),0,IF($G6=R$24,1,IF(SUM($J6:Q6)=0,0,1))))*R$26</f>
        <v>#N/A</v>
      </c>
      <c r="S6" s="8" t="e">
        <f ca="1">(IF(SUM($J6:R6)&gt;($H6-1),0,IF($G6=S$24,1,IF(SUM($J6:R6)=0,0,1))))*S$26</f>
        <v>#N/A</v>
      </c>
      <c r="T6" s="8" t="e">
        <f ca="1">(IF(SUM($J6:S6)&gt;($H6-1),0,IF($G6=T$24,1,IF(SUM($J6:S6)=0,0,1))))*T$26</f>
        <v>#N/A</v>
      </c>
      <c r="U6" s="8" t="e">
        <f ca="1">(IF(SUM($J6:T6)&gt;($H6-1),0,IF($G6=U$24,1,IF(SUM($J6:T6)=0,0,1))))*U$26</f>
        <v>#N/A</v>
      </c>
      <c r="V6" s="8" t="e">
        <f ca="1">(IF(SUM($J6:U6)&gt;($H6-1),0,IF($G6=V$24,1,IF(SUM($J6:U6)=0,0,1))))*V$26</f>
        <v>#N/A</v>
      </c>
      <c r="W6" s="8" t="e">
        <f ca="1">(IF(SUM($J6:V6)&gt;($H6-1),0,IF($G6=W$24,1,IF(SUM($J6:V6)=0,0,1))))*W$26</f>
        <v>#N/A</v>
      </c>
      <c r="X6" s="8" t="e">
        <f ca="1">(IF(SUM($J6:W6)&gt;($H6-1),0,IF($G6=X$24,1,IF(SUM($J6:W6)=0,0,1))))*X$26</f>
        <v>#N/A</v>
      </c>
      <c r="Y6" s="8" t="e">
        <f ca="1">(IF(SUM($J6:X6)&gt;($H6-1),0,IF($G6=Y$24,1,IF(SUM($J6:X6)=0,0,1))))*Y$26</f>
        <v>#N/A</v>
      </c>
      <c r="Z6" s="8" t="e">
        <f ca="1">(IF(SUM($J6:Y6)&gt;($H6-1),0,IF($G6=Z$24,1,IF(SUM($J6:Y6)=0,0,1))))*Z$26</f>
        <v>#N/A</v>
      </c>
      <c r="AA6" s="8" t="e">
        <f ca="1">(IF(SUM($J6:Z6)&gt;($H6-1),0,IF($G6=AA$24,1,IF(SUM($J6:Z6)=0,0,1))))*AA$26</f>
        <v>#N/A</v>
      </c>
      <c r="AB6" s="8" t="e">
        <f ca="1">(IF(SUM($J6:AA6)&gt;($H6-1),0,IF($G6=AB$24,1,IF(SUM($J6:AA6)=0,0,1))))*AB$26</f>
        <v>#N/A</v>
      </c>
      <c r="AC6" s="8" t="e">
        <f ca="1">(IF(SUM($J6:AB6)&gt;($H6-1),0,IF($G6=AC$24,1,IF(SUM($J6:AB6)=0,0,1))))*AC$26</f>
        <v>#N/A</v>
      </c>
      <c r="AD6" s="8" t="e">
        <f ca="1">(IF(SUM($J6:AC6)&gt;($H6-1),0,IF($G6=AD$24,1,IF(SUM($J6:AC6)=0,0,1))))*AD$26</f>
        <v>#N/A</v>
      </c>
      <c r="AE6" s="8" t="e">
        <f ca="1">(IF(SUM($J6:AD6)&gt;($H6-1),0,IF($G6=AE$24,1,IF(SUM($J6:AD6)=0,0,1))))*AE$26</f>
        <v>#N/A</v>
      </c>
      <c r="AF6" s="8" t="e">
        <f ca="1">(IF(SUM($J6:AE6)&gt;($H6-1),0,IF($G6=AF$24,1,IF(SUM($J6:AE6)=0,0,1))))*AF$26</f>
        <v>#N/A</v>
      </c>
      <c r="AG6" s="8" t="e">
        <f ca="1">(IF(SUM($J6:AF6)&gt;($H6-1),0,IF($G6=AG$24,1,IF(SUM($J6:AF6)=0,0,1))))*AG$26</f>
        <v>#N/A</v>
      </c>
      <c r="AH6" s="8" t="e">
        <f ca="1">(IF(SUM($J6:AG6)&gt;($H6-1),0,IF($G6=AH$24,1,IF(SUM($J6:AG6)=0,0,1))))*AH$26</f>
        <v>#N/A</v>
      </c>
      <c r="AI6" s="8" t="e">
        <f ca="1">(IF(SUM($J6:AH6)&gt;($H6-1),0,IF($G6=AI$24,1,IF(SUM($J6:AH6)=0,0,1))))*AI$26</f>
        <v>#N/A</v>
      </c>
      <c r="AJ6" s="8" t="e">
        <f ca="1">(IF(SUM($J6:AI6)&gt;($H6-1),0,IF($G6=AJ$24,1,IF(SUM($J6:AI6)=0,0,1))))*AJ$26</f>
        <v>#N/A</v>
      </c>
      <c r="AK6" s="8" t="e">
        <f ca="1">(IF(SUM($J6:AJ6)&gt;($H6-1),0,IF($G6=AK$24,1,IF(SUM($J6:AJ6)=0,0,1))))*AK$26</f>
        <v>#N/A</v>
      </c>
      <c r="AL6" s="8" t="e">
        <f ca="1">(IF(SUM($J6:AK6)&gt;($H6-1),0,IF($G6=AL$24,1,IF(SUM($J6:AK6)=0,0,1))))*AL$26</f>
        <v>#N/A</v>
      </c>
      <c r="AM6" s="8" t="e">
        <f ca="1">(IF(SUM($J6:AL6)&gt;($H6-1),0,IF($G6=AM$24,1,IF(SUM($J6:AL6)=0,0,1))))*AM$26</f>
        <v>#N/A</v>
      </c>
      <c r="AN6" s="8" t="e">
        <f ca="1">(IF(SUM($J6:AM6)&gt;($H6-1),0,IF($G6=AN$24,1,IF(SUM($J6:AM6)=0,0,1))))*AN$26</f>
        <v>#N/A</v>
      </c>
      <c r="AO6" s="8" t="e">
        <f ca="1">(IF(SUM($J6:AN6)&gt;($H6-1),0,IF($G6=AO$24,1,IF(SUM($J6:AN6)=0,0,1))))*AO$26</f>
        <v>#N/A</v>
      </c>
      <c r="AP6" s="8" t="e">
        <f ca="1">(IF(SUM($J6:AO6)&gt;($H6-1),0,IF($G6=AP$24,1,IF(SUM($J6:AO6)=0,0,1))))*AP$26</f>
        <v>#N/A</v>
      </c>
      <c r="AQ6" s="8" t="e">
        <f ca="1">(IF(SUM($J6:AP6)&gt;($H6-1),0,IF($G6=AQ$24,1,IF(SUM($J6:AP6)=0,0,1))))*AQ$26</f>
        <v>#N/A</v>
      </c>
      <c r="AR6" s="8" t="e">
        <f ca="1">(IF(SUM($J6:AQ6)&gt;($H6-1),0,IF($G6=AR$24,1,IF(SUM($J6:AQ6)=0,0,1))))*AR$26</f>
        <v>#N/A</v>
      </c>
      <c r="AS6" s="8" t="e">
        <f ca="1">(IF(SUM($J6:AR6)&gt;($H6-1),0,IF($G6=AS$24,1,IF(SUM($J6:AR6)=0,0,1))))*AS$26</f>
        <v>#N/A</v>
      </c>
      <c r="AT6" s="8" t="e">
        <f ca="1">(IF(SUM($J6:AS6)&gt;($H6-1),0,IF($G6=AT$24,1,IF(SUM($J6:AS6)=0,0,1))))*AT$26</f>
        <v>#N/A</v>
      </c>
      <c r="AU6" s="8" t="e">
        <f ca="1">(IF(SUM($J6:AT6)&gt;($H6-1),0,IF($G6=AU$24,1,IF(SUM($J6:AT6)=0,0,1))))*AU$26</f>
        <v>#N/A</v>
      </c>
      <c r="AV6" s="8" t="e">
        <f ca="1">(IF(SUM($J6:AU6)&gt;($H6-1),0,IF($G6=AV$24,1,IF(SUM($J6:AU6)=0,0,1))))*AV$26</f>
        <v>#N/A</v>
      </c>
      <c r="AW6" s="8" t="e">
        <f ca="1">(IF(SUM($J6:AV6)&gt;($H6-1),0,IF($G6=AW$24,1,IF(SUM($J6:AV6)=0,0,1))))*AW$26</f>
        <v>#N/A</v>
      </c>
      <c r="AX6" s="8" t="e">
        <f ca="1">(IF(SUM($J6:AW6)&gt;($H6-1),0,IF($G6=AX$24,1,IF(SUM($J6:AW6)=0,0,1))))*AX$26</f>
        <v>#N/A</v>
      </c>
      <c r="AY6" s="8" t="e">
        <f ca="1">(IF(SUM($J6:AX6)&gt;($H6-1),0,IF($G6=AY$24,1,IF(SUM($J6:AX6)=0,0,1))))*AY$26</f>
        <v>#N/A</v>
      </c>
      <c r="AZ6" s="8" t="e">
        <f ca="1">(IF(SUM($J6:AY6)&gt;($H6-1),0,IF($G6=AZ$24,1,IF(SUM($J6:AY6)=0,0,1))))*AZ$26</f>
        <v>#N/A</v>
      </c>
      <c r="BA6" s="8" t="e">
        <f ca="1">(IF(SUM($J6:AZ6)&gt;($H6-1),0,IF($G6=BA$24,1,IF(SUM($J6:AZ6)=0,0,1))))*BA$26</f>
        <v>#N/A</v>
      </c>
      <c r="BB6" s="8" t="e">
        <f ca="1">(IF(SUM($J6:BA6)&gt;($H6-1),0,IF($G6=BB$24,1,IF(SUM($J6:BA6)=0,0,1))))*BB$26</f>
        <v>#N/A</v>
      </c>
      <c r="BC6" s="8" t="e">
        <f ca="1">(IF(SUM($J6:BB6)&gt;($H6-1),0,IF($G6=BC$24,1,IF(SUM($J6:BB6)=0,0,1))))*BC$26</f>
        <v>#N/A</v>
      </c>
      <c r="BD6" s="8" t="e">
        <f ca="1">(IF(SUM($J6:BC6)&gt;($H6-1),0,IF($G6=BD$24,1,IF(SUM($J6:BC6)=0,0,1))))*BD$26</f>
        <v>#N/A</v>
      </c>
      <c r="BE6" s="8" t="e">
        <f ca="1">(IF(SUM($J6:BD6)&gt;($H6-1),0,IF($G6=BE$24,1,IF(SUM($J6:BD6)=0,0,1))))*BE$26</f>
        <v>#N/A</v>
      </c>
      <c r="BF6" s="119" t="str">
        <f>IF('1.G.Data'!C$14="","Alert: Fill Duration (months) on sheet 1. G.DATA",IF(G6="","",IF(H6&gt;BG6,$BJ$4,CONCATENATE($BI$10,BG6,$BI$11))))</f>
        <v/>
      </c>
      <c r="BG6" s="566">
        <f>IF(G6="",0,'1.G.Data'!C$14+1-'3.Tasks'!G6)</f>
        <v>0</v>
      </c>
      <c r="BK6" s="122" t="str">
        <f t="shared" si="4"/>
        <v>N/A</v>
      </c>
      <c r="BL6" s="120" t="e">
        <f t="shared" ca="1" si="5"/>
        <v>#N/A</v>
      </c>
      <c r="BM6" s="120" t="e">
        <f t="shared" ca="1" si="6"/>
        <v>#N/A</v>
      </c>
      <c r="BN6" s="120" t="e">
        <f t="shared" ca="1" si="7"/>
        <v>#N/A</v>
      </c>
      <c r="BO6" s="120" t="e">
        <f t="shared" ca="1" si="8"/>
        <v>#N/A</v>
      </c>
    </row>
    <row r="7" spans="1:82">
      <c r="A7" t="s">
        <v>21</v>
      </c>
      <c r="B7" s="3" t="s">
        <v>821</v>
      </c>
      <c r="C7" s="106"/>
      <c r="D7" s="106"/>
      <c r="E7" s="106"/>
      <c r="F7" s="107"/>
      <c r="G7" s="108"/>
      <c r="H7" s="108"/>
      <c r="I7" s="10">
        <f t="shared" si="1"/>
        <v>0</v>
      </c>
      <c r="J7" s="8">
        <f t="shared" ca="1" si="2"/>
        <v>0</v>
      </c>
      <c r="K7" s="8">
        <f t="shared" ca="1" si="3"/>
        <v>0</v>
      </c>
      <c r="L7" s="8" t="e">
        <f ca="1">(IF(SUM($J7:K7)&gt;($H7-1),0,IF($G7=L$24,1,IF(SUM($J7:K7)=0,0,1))))*L$26</f>
        <v>#N/A</v>
      </c>
      <c r="M7" s="8" t="e">
        <f ca="1">(IF(SUM($J7:L7)&gt;($H7-1),0,IF($G7=M$24,1,IF(SUM($J7:L7)=0,0,1))))*M$26</f>
        <v>#N/A</v>
      </c>
      <c r="N7" s="8" t="e">
        <f ca="1">(IF(SUM($J7:M7)&gt;($H7-1),0,IF($G7=N$24,1,IF(SUM($J7:M7)=0,0,1))))*N$26</f>
        <v>#N/A</v>
      </c>
      <c r="O7" s="8" t="e">
        <f ca="1">(IF(SUM($J7:N7)&gt;($H7-1),0,IF($G7=O$24,1,IF(SUM($J7:N7)=0,0,1))))*O$26</f>
        <v>#N/A</v>
      </c>
      <c r="P7" s="8" t="e">
        <f ca="1">(IF(SUM($J7:O7)&gt;($H7-1),0,IF($G7=P$24,1,IF(SUM($J7:O7)=0,0,1))))*P$26</f>
        <v>#N/A</v>
      </c>
      <c r="Q7" s="8" t="e">
        <f ca="1">(IF(SUM($J7:P7)&gt;($H7-1),0,IF($G7=Q$24,1,IF(SUM($J7:P7)=0,0,1))))*Q$26</f>
        <v>#N/A</v>
      </c>
      <c r="R7" s="8" t="e">
        <f ca="1">(IF(SUM($J7:Q7)&gt;($H7-1),0,IF($G7=R$24,1,IF(SUM($J7:Q7)=0,0,1))))*R$26</f>
        <v>#N/A</v>
      </c>
      <c r="S7" s="8" t="e">
        <f ca="1">(IF(SUM($J7:R7)&gt;($H7-1),0,IF($G7=S$24,1,IF(SUM($J7:R7)=0,0,1))))*S$26</f>
        <v>#N/A</v>
      </c>
      <c r="T7" s="8" t="e">
        <f ca="1">(IF(SUM($J7:S7)&gt;($H7-1),0,IF($G7=T$24,1,IF(SUM($J7:S7)=0,0,1))))*T$26</f>
        <v>#N/A</v>
      </c>
      <c r="U7" s="8" t="e">
        <f ca="1">(IF(SUM($J7:T7)&gt;($H7-1),0,IF($G7=U$24,1,IF(SUM($J7:T7)=0,0,1))))*U$26</f>
        <v>#N/A</v>
      </c>
      <c r="V7" s="8" t="e">
        <f ca="1">(IF(SUM($J7:U7)&gt;($H7-1),0,IF($G7=V$24,1,IF(SUM($J7:U7)=0,0,1))))*V$26</f>
        <v>#N/A</v>
      </c>
      <c r="W7" s="8" t="e">
        <f ca="1">(IF(SUM($J7:V7)&gt;($H7-1),0,IF($G7=W$24,1,IF(SUM($J7:V7)=0,0,1))))*W$26</f>
        <v>#N/A</v>
      </c>
      <c r="X7" s="8" t="e">
        <f ca="1">(IF(SUM($J7:W7)&gt;($H7-1),0,IF($G7=X$24,1,IF(SUM($J7:W7)=0,0,1))))*X$26</f>
        <v>#N/A</v>
      </c>
      <c r="Y7" s="8" t="e">
        <f ca="1">(IF(SUM($J7:X7)&gt;($H7-1),0,IF($G7=Y$24,1,IF(SUM($J7:X7)=0,0,1))))*Y$26</f>
        <v>#N/A</v>
      </c>
      <c r="Z7" s="8" t="e">
        <f ca="1">(IF(SUM($J7:Y7)&gt;($H7-1),0,IF($G7=Z$24,1,IF(SUM($J7:Y7)=0,0,1))))*Z$26</f>
        <v>#N/A</v>
      </c>
      <c r="AA7" s="8" t="e">
        <f ca="1">(IF(SUM($J7:Z7)&gt;($H7-1),0,IF($G7=AA$24,1,IF(SUM($J7:Z7)=0,0,1))))*AA$26</f>
        <v>#N/A</v>
      </c>
      <c r="AB7" s="8" t="e">
        <f ca="1">(IF(SUM($J7:AA7)&gt;($H7-1),0,IF($G7=AB$24,1,IF(SUM($J7:AA7)=0,0,1))))*AB$26</f>
        <v>#N/A</v>
      </c>
      <c r="AC7" s="8" t="e">
        <f ca="1">(IF(SUM($J7:AB7)&gt;($H7-1),0,IF($G7=AC$24,1,IF(SUM($J7:AB7)=0,0,1))))*AC$26</f>
        <v>#N/A</v>
      </c>
      <c r="AD7" s="8" t="e">
        <f ca="1">(IF(SUM($J7:AC7)&gt;($H7-1),0,IF($G7=AD$24,1,IF(SUM($J7:AC7)=0,0,1))))*AD$26</f>
        <v>#N/A</v>
      </c>
      <c r="AE7" s="8" t="e">
        <f ca="1">(IF(SUM($J7:AD7)&gt;($H7-1),0,IF($G7=AE$24,1,IF(SUM($J7:AD7)=0,0,1))))*AE$26</f>
        <v>#N/A</v>
      </c>
      <c r="AF7" s="8" t="e">
        <f ca="1">(IF(SUM($J7:AE7)&gt;($H7-1),0,IF($G7=AF$24,1,IF(SUM($J7:AE7)=0,0,1))))*AF$26</f>
        <v>#N/A</v>
      </c>
      <c r="AG7" s="8" t="e">
        <f ca="1">(IF(SUM($J7:AF7)&gt;($H7-1),0,IF($G7=AG$24,1,IF(SUM($J7:AF7)=0,0,1))))*AG$26</f>
        <v>#N/A</v>
      </c>
      <c r="AH7" s="8" t="e">
        <f ca="1">(IF(SUM($J7:AG7)&gt;($H7-1),0,IF($G7=AH$24,1,IF(SUM($J7:AG7)=0,0,1))))*AH$26</f>
        <v>#N/A</v>
      </c>
      <c r="AI7" s="8" t="e">
        <f ca="1">(IF(SUM($J7:AH7)&gt;($H7-1),0,IF($G7=AI$24,1,IF(SUM($J7:AH7)=0,0,1))))*AI$26</f>
        <v>#N/A</v>
      </c>
      <c r="AJ7" s="8" t="e">
        <f ca="1">(IF(SUM($J7:AI7)&gt;($H7-1),0,IF($G7=AJ$24,1,IF(SUM($J7:AI7)=0,0,1))))*AJ$26</f>
        <v>#N/A</v>
      </c>
      <c r="AK7" s="8" t="e">
        <f ca="1">(IF(SUM($J7:AJ7)&gt;($H7-1),0,IF($G7=AK$24,1,IF(SUM($J7:AJ7)=0,0,1))))*AK$26</f>
        <v>#N/A</v>
      </c>
      <c r="AL7" s="8" t="e">
        <f ca="1">(IF(SUM($J7:AK7)&gt;($H7-1),0,IF($G7=AL$24,1,IF(SUM($J7:AK7)=0,0,1))))*AL$26</f>
        <v>#N/A</v>
      </c>
      <c r="AM7" s="8" t="e">
        <f ca="1">(IF(SUM($J7:AL7)&gt;($H7-1),0,IF($G7=AM$24,1,IF(SUM($J7:AL7)=0,0,1))))*AM$26</f>
        <v>#N/A</v>
      </c>
      <c r="AN7" s="8" t="e">
        <f ca="1">(IF(SUM($J7:AM7)&gt;($H7-1),0,IF($G7=AN$24,1,IF(SUM($J7:AM7)=0,0,1))))*AN$26</f>
        <v>#N/A</v>
      </c>
      <c r="AO7" s="8" t="e">
        <f ca="1">(IF(SUM($J7:AN7)&gt;($H7-1),0,IF($G7=AO$24,1,IF(SUM($J7:AN7)=0,0,1))))*AO$26</f>
        <v>#N/A</v>
      </c>
      <c r="AP7" s="8" t="e">
        <f ca="1">(IF(SUM($J7:AO7)&gt;($H7-1),0,IF($G7=AP$24,1,IF(SUM($J7:AO7)=0,0,1))))*AP$26</f>
        <v>#N/A</v>
      </c>
      <c r="AQ7" s="8" t="e">
        <f ca="1">(IF(SUM($J7:AP7)&gt;($H7-1),0,IF($G7=AQ$24,1,IF(SUM($J7:AP7)=0,0,1))))*AQ$26</f>
        <v>#N/A</v>
      </c>
      <c r="AR7" s="8" t="e">
        <f ca="1">(IF(SUM($J7:AQ7)&gt;($H7-1),0,IF($G7=AR$24,1,IF(SUM($J7:AQ7)=0,0,1))))*AR$26</f>
        <v>#N/A</v>
      </c>
      <c r="AS7" s="8" t="e">
        <f ca="1">(IF(SUM($J7:AR7)&gt;($H7-1),0,IF($G7=AS$24,1,IF(SUM($J7:AR7)=0,0,1))))*AS$26</f>
        <v>#N/A</v>
      </c>
      <c r="AT7" s="8" t="e">
        <f ca="1">(IF(SUM($J7:AS7)&gt;($H7-1),0,IF($G7=AT$24,1,IF(SUM($J7:AS7)=0,0,1))))*AT$26</f>
        <v>#N/A</v>
      </c>
      <c r="AU7" s="8" t="e">
        <f ca="1">(IF(SUM($J7:AT7)&gt;($H7-1),0,IF($G7=AU$24,1,IF(SUM($J7:AT7)=0,0,1))))*AU$26</f>
        <v>#N/A</v>
      </c>
      <c r="AV7" s="8" t="e">
        <f ca="1">(IF(SUM($J7:AU7)&gt;($H7-1),0,IF($G7=AV$24,1,IF(SUM($J7:AU7)=0,0,1))))*AV$26</f>
        <v>#N/A</v>
      </c>
      <c r="AW7" s="8" t="e">
        <f ca="1">(IF(SUM($J7:AV7)&gt;($H7-1),0,IF($G7=AW$24,1,IF(SUM($J7:AV7)=0,0,1))))*AW$26</f>
        <v>#N/A</v>
      </c>
      <c r="AX7" s="8" t="e">
        <f ca="1">(IF(SUM($J7:AW7)&gt;($H7-1),0,IF($G7=AX$24,1,IF(SUM($J7:AW7)=0,0,1))))*AX$26</f>
        <v>#N/A</v>
      </c>
      <c r="AY7" s="8" t="e">
        <f ca="1">(IF(SUM($J7:AX7)&gt;($H7-1),0,IF($G7=AY$24,1,IF(SUM($J7:AX7)=0,0,1))))*AY$26</f>
        <v>#N/A</v>
      </c>
      <c r="AZ7" s="8" t="e">
        <f ca="1">(IF(SUM($J7:AY7)&gt;($H7-1),0,IF($G7=AZ$24,1,IF(SUM($J7:AY7)=0,0,1))))*AZ$26</f>
        <v>#N/A</v>
      </c>
      <c r="BA7" s="8" t="e">
        <f ca="1">(IF(SUM($J7:AZ7)&gt;($H7-1),0,IF($G7=BA$24,1,IF(SUM($J7:AZ7)=0,0,1))))*BA$26</f>
        <v>#N/A</v>
      </c>
      <c r="BB7" s="8" t="e">
        <f ca="1">(IF(SUM($J7:BA7)&gt;($H7-1),0,IF($G7=BB$24,1,IF(SUM($J7:BA7)=0,0,1))))*BB$26</f>
        <v>#N/A</v>
      </c>
      <c r="BC7" s="8" t="e">
        <f ca="1">(IF(SUM($J7:BB7)&gt;($H7-1),0,IF($G7=BC$24,1,IF(SUM($J7:BB7)=0,0,1))))*BC$26</f>
        <v>#N/A</v>
      </c>
      <c r="BD7" s="8" t="e">
        <f ca="1">(IF(SUM($J7:BC7)&gt;($H7-1),0,IF($G7=BD$24,1,IF(SUM($J7:BC7)=0,0,1))))*BD$26</f>
        <v>#N/A</v>
      </c>
      <c r="BE7" s="8" t="e">
        <f ca="1">(IF(SUM($J7:BD7)&gt;($H7-1),0,IF($G7=BE$24,1,IF(SUM($J7:BD7)=0,0,1))))*BE$26</f>
        <v>#N/A</v>
      </c>
      <c r="BF7" s="119" t="str">
        <f>IF('1.G.Data'!C$14="","Alert: Fill Duration (months) on sheet 1. G.DATA",IF(G7="","",IF(H7&gt;BG7,$BJ$4,CONCATENATE($BI$10,BG7,$BI$11))))</f>
        <v/>
      </c>
      <c r="BG7" s="566">
        <f>IF(G7="",0,'1.G.Data'!C$14+1-'3.Tasks'!G7)</f>
        <v>0</v>
      </c>
      <c r="BK7" s="122" t="str">
        <f t="shared" si="4"/>
        <v>N/A</v>
      </c>
      <c r="BL7" s="120" t="e">
        <f t="shared" ca="1" si="5"/>
        <v>#N/A</v>
      </c>
      <c r="BM7" s="120" t="e">
        <f t="shared" ca="1" si="6"/>
        <v>#N/A</v>
      </c>
      <c r="BN7" s="120" t="e">
        <f t="shared" ca="1" si="7"/>
        <v>#N/A</v>
      </c>
      <c r="BO7" s="120" t="e">
        <f t="shared" ca="1" si="8"/>
        <v>#N/A</v>
      </c>
    </row>
    <row r="8" spans="1:82">
      <c r="A8" t="s">
        <v>22</v>
      </c>
      <c r="B8" s="3" t="s">
        <v>822</v>
      </c>
      <c r="C8" s="106"/>
      <c r="D8" s="106"/>
      <c r="E8" s="106"/>
      <c r="F8" s="107"/>
      <c r="G8" s="108"/>
      <c r="H8" s="108"/>
      <c r="I8" s="10">
        <f t="shared" si="1"/>
        <v>0</v>
      </c>
      <c r="J8" s="8">
        <f t="shared" ca="1" si="2"/>
        <v>0</v>
      </c>
      <c r="K8" s="8">
        <f t="shared" ca="1" si="3"/>
        <v>0</v>
      </c>
      <c r="L8" s="8" t="e">
        <f ca="1">(IF(SUM($J8:K8)&gt;($H8-1),0,IF($G8=L$24,1,IF(SUM($J8:K8)=0,0,1))))*L$26</f>
        <v>#N/A</v>
      </c>
      <c r="M8" s="8" t="e">
        <f ca="1">(IF(SUM($J8:L8)&gt;($H8-1),0,IF($G8=M$24,1,IF(SUM($J8:L8)=0,0,1))))*M$26</f>
        <v>#N/A</v>
      </c>
      <c r="N8" s="8" t="e">
        <f ca="1">(IF(SUM($J8:M8)&gt;($H8-1),0,IF($G8=N$24,1,IF(SUM($J8:M8)=0,0,1))))*N$26</f>
        <v>#N/A</v>
      </c>
      <c r="O8" s="8" t="e">
        <f ca="1">(IF(SUM($J8:N8)&gt;($H8-1),0,IF($G8=O$24,1,IF(SUM($J8:N8)=0,0,1))))*O$26</f>
        <v>#N/A</v>
      </c>
      <c r="P8" s="8" t="e">
        <f ca="1">(IF(SUM($J8:O8)&gt;($H8-1),0,IF($G8=P$24,1,IF(SUM($J8:O8)=0,0,1))))*P$26</f>
        <v>#N/A</v>
      </c>
      <c r="Q8" s="8" t="e">
        <f ca="1">(IF(SUM($J8:P8)&gt;($H8-1),0,IF($G8=Q$24,1,IF(SUM($J8:P8)=0,0,1))))*Q$26</f>
        <v>#N/A</v>
      </c>
      <c r="R8" s="8" t="e">
        <f ca="1">(IF(SUM($J8:Q8)&gt;($H8-1),0,IF($G8=R$24,1,IF(SUM($J8:Q8)=0,0,1))))*R$26</f>
        <v>#N/A</v>
      </c>
      <c r="S8" s="8" t="e">
        <f ca="1">(IF(SUM($J8:R8)&gt;($H8-1),0,IF($G8=S$24,1,IF(SUM($J8:R8)=0,0,1))))*S$26</f>
        <v>#N/A</v>
      </c>
      <c r="T8" s="8" t="e">
        <f ca="1">(IF(SUM($J8:S8)&gt;($H8-1),0,IF($G8=T$24,1,IF(SUM($J8:S8)=0,0,1))))*T$26</f>
        <v>#N/A</v>
      </c>
      <c r="U8" s="8" t="e">
        <f ca="1">(IF(SUM($J8:T8)&gt;($H8-1),0,IF($G8=U$24,1,IF(SUM($J8:T8)=0,0,1))))*U$26</f>
        <v>#N/A</v>
      </c>
      <c r="V8" s="8" t="e">
        <f ca="1">(IF(SUM($J8:U8)&gt;($H8-1),0,IF($G8=V$24,1,IF(SUM($J8:U8)=0,0,1))))*V$26</f>
        <v>#N/A</v>
      </c>
      <c r="W8" s="8" t="e">
        <f ca="1">(IF(SUM($J8:V8)&gt;($H8-1),0,IF($G8=W$24,1,IF(SUM($J8:V8)=0,0,1))))*W$26</f>
        <v>#N/A</v>
      </c>
      <c r="X8" s="8" t="e">
        <f ca="1">(IF(SUM($J8:W8)&gt;($H8-1),0,IF($G8=X$24,1,IF(SUM($J8:W8)=0,0,1))))*X$26</f>
        <v>#N/A</v>
      </c>
      <c r="Y8" s="8" t="e">
        <f ca="1">(IF(SUM($J8:X8)&gt;($H8-1),0,IF($G8=Y$24,1,IF(SUM($J8:X8)=0,0,1))))*Y$26</f>
        <v>#N/A</v>
      </c>
      <c r="Z8" s="8" t="e">
        <f ca="1">(IF(SUM($J8:Y8)&gt;($H8-1),0,IF($G8=Z$24,1,IF(SUM($J8:Y8)=0,0,1))))*Z$26</f>
        <v>#N/A</v>
      </c>
      <c r="AA8" s="8" t="e">
        <f ca="1">(IF(SUM($J8:Z8)&gt;($H8-1),0,IF($G8=AA$24,1,IF(SUM($J8:Z8)=0,0,1))))*AA$26</f>
        <v>#N/A</v>
      </c>
      <c r="AB8" s="8" t="e">
        <f ca="1">(IF(SUM($J8:AA8)&gt;($H8-1),0,IF($G8=AB$24,1,IF(SUM($J8:AA8)=0,0,1))))*AB$26</f>
        <v>#N/A</v>
      </c>
      <c r="AC8" s="8" t="e">
        <f ca="1">(IF(SUM($J8:AB8)&gt;($H8-1),0,IF($G8=AC$24,1,IF(SUM($J8:AB8)=0,0,1))))*AC$26</f>
        <v>#N/A</v>
      </c>
      <c r="AD8" s="8" t="e">
        <f ca="1">(IF(SUM($J8:AC8)&gt;($H8-1),0,IF($G8=AD$24,1,IF(SUM($J8:AC8)=0,0,1))))*AD$26</f>
        <v>#N/A</v>
      </c>
      <c r="AE8" s="8" t="e">
        <f ca="1">(IF(SUM($J8:AD8)&gt;($H8-1),0,IF($G8=AE$24,1,IF(SUM($J8:AD8)=0,0,1))))*AE$26</f>
        <v>#N/A</v>
      </c>
      <c r="AF8" s="8" t="e">
        <f ca="1">(IF(SUM($J8:AE8)&gt;($H8-1),0,IF($G8=AF$24,1,IF(SUM($J8:AE8)=0,0,1))))*AF$26</f>
        <v>#N/A</v>
      </c>
      <c r="AG8" s="8" t="e">
        <f ca="1">(IF(SUM($J8:AF8)&gt;($H8-1),0,IF($G8=AG$24,1,IF(SUM($J8:AF8)=0,0,1))))*AG$26</f>
        <v>#N/A</v>
      </c>
      <c r="AH8" s="8" t="e">
        <f ca="1">(IF(SUM($J8:AG8)&gt;($H8-1),0,IF($G8=AH$24,1,IF(SUM($J8:AG8)=0,0,1))))*AH$26</f>
        <v>#N/A</v>
      </c>
      <c r="AI8" s="8" t="e">
        <f ca="1">(IF(SUM($J8:AH8)&gt;($H8-1),0,IF($G8=AI$24,1,IF(SUM($J8:AH8)=0,0,1))))*AI$26</f>
        <v>#N/A</v>
      </c>
      <c r="AJ8" s="8" t="e">
        <f ca="1">(IF(SUM($J8:AI8)&gt;($H8-1),0,IF($G8=AJ$24,1,IF(SUM($J8:AI8)=0,0,1))))*AJ$26</f>
        <v>#N/A</v>
      </c>
      <c r="AK8" s="8" t="e">
        <f ca="1">(IF(SUM($J8:AJ8)&gt;($H8-1),0,IF($G8=AK$24,1,IF(SUM($J8:AJ8)=0,0,1))))*AK$26</f>
        <v>#N/A</v>
      </c>
      <c r="AL8" s="8" t="e">
        <f ca="1">(IF(SUM($J8:AK8)&gt;($H8-1),0,IF($G8=AL$24,1,IF(SUM($J8:AK8)=0,0,1))))*AL$26</f>
        <v>#N/A</v>
      </c>
      <c r="AM8" s="8" t="e">
        <f ca="1">(IF(SUM($J8:AL8)&gt;($H8-1),0,IF($G8=AM$24,1,IF(SUM($J8:AL8)=0,0,1))))*AM$26</f>
        <v>#N/A</v>
      </c>
      <c r="AN8" s="8" t="e">
        <f ca="1">(IF(SUM($J8:AM8)&gt;($H8-1),0,IF($G8=AN$24,1,IF(SUM($J8:AM8)=0,0,1))))*AN$26</f>
        <v>#N/A</v>
      </c>
      <c r="AO8" s="8" t="e">
        <f ca="1">(IF(SUM($J8:AN8)&gt;($H8-1),0,IF($G8=AO$24,1,IF(SUM($J8:AN8)=0,0,1))))*AO$26</f>
        <v>#N/A</v>
      </c>
      <c r="AP8" s="8" t="e">
        <f ca="1">(IF(SUM($J8:AO8)&gt;($H8-1),0,IF($G8=AP$24,1,IF(SUM($J8:AO8)=0,0,1))))*AP$26</f>
        <v>#N/A</v>
      </c>
      <c r="AQ8" s="8" t="e">
        <f ca="1">(IF(SUM($J8:AP8)&gt;($H8-1),0,IF($G8=AQ$24,1,IF(SUM($J8:AP8)=0,0,1))))*AQ$26</f>
        <v>#N/A</v>
      </c>
      <c r="AR8" s="8" t="e">
        <f ca="1">(IF(SUM($J8:AQ8)&gt;($H8-1),0,IF($G8=AR$24,1,IF(SUM($J8:AQ8)=0,0,1))))*AR$26</f>
        <v>#N/A</v>
      </c>
      <c r="AS8" s="8" t="e">
        <f ca="1">(IF(SUM($J8:AR8)&gt;($H8-1),0,IF($G8=AS$24,1,IF(SUM($J8:AR8)=0,0,1))))*AS$26</f>
        <v>#N/A</v>
      </c>
      <c r="AT8" s="8" t="e">
        <f ca="1">(IF(SUM($J8:AS8)&gt;($H8-1),0,IF($G8=AT$24,1,IF(SUM($J8:AS8)=0,0,1))))*AT$26</f>
        <v>#N/A</v>
      </c>
      <c r="AU8" s="8" t="e">
        <f ca="1">(IF(SUM($J8:AT8)&gt;($H8-1),0,IF($G8=AU$24,1,IF(SUM($J8:AT8)=0,0,1))))*AU$26</f>
        <v>#N/A</v>
      </c>
      <c r="AV8" s="8" t="e">
        <f ca="1">(IF(SUM($J8:AU8)&gt;($H8-1),0,IF($G8=AV$24,1,IF(SUM($J8:AU8)=0,0,1))))*AV$26</f>
        <v>#N/A</v>
      </c>
      <c r="AW8" s="8" t="e">
        <f ca="1">(IF(SUM($J8:AV8)&gt;($H8-1),0,IF($G8=AW$24,1,IF(SUM($J8:AV8)=0,0,1))))*AW$26</f>
        <v>#N/A</v>
      </c>
      <c r="AX8" s="8" t="e">
        <f ca="1">(IF(SUM($J8:AW8)&gt;($H8-1),0,IF($G8=AX$24,1,IF(SUM($J8:AW8)=0,0,1))))*AX$26</f>
        <v>#N/A</v>
      </c>
      <c r="AY8" s="8" t="e">
        <f ca="1">(IF(SUM($J8:AX8)&gt;($H8-1),0,IF($G8=AY$24,1,IF(SUM($J8:AX8)=0,0,1))))*AY$26</f>
        <v>#N/A</v>
      </c>
      <c r="AZ8" s="8" t="e">
        <f ca="1">(IF(SUM($J8:AY8)&gt;($H8-1),0,IF($G8=AZ$24,1,IF(SUM($J8:AY8)=0,0,1))))*AZ$26</f>
        <v>#N/A</v>
      </c>
      <c r="BA8" s="8" t="e">
        <f ca="1">(IF(SUM($J8:AZ8)&gt;($H8-1),0,IF($G8=BA$24,1,IF(SUM($J8:AZ8)=0,0,1))))*BA$26</f>
        <v>#N/A</v>
      </c>
      <c r="BB8" s="8" t="e">
        <f ca="1">(IF(SUM($J8:BA8)&gt;($H8-1),0,IF($G8=BB$24,1,IF(SUM($J8:BA8)=0,0,1))))*BB$26</f>
        <v>#N/A</v>
      </c>
      <c r="BC8" s="8" t="e">
        <f ca="1">(IF(SUM($J8:BB8)&gt;($H8-1),0,IF($G8=BC$24,1,IF(SUM($J8:BB8)=0,0,1))))*BC$26</f>
        <v>#N/A</v>
      </c>
      <c r="BD8" s="8" t="e">
        <f ca="1">(IF(SUM($J8:BC8)&gt;($H8-1),0,IF($G8=BD$24,1,IF(SUM($J8:BC8)=0,0,1))))*BD$26</f>
        <v>#N/A</v>
      </c>
      <c r="BE8" s="8" t="e">
        <f ca="1">(IF(SUM($J8:BD8)&gt;($H8-1),0,IF($G8=BE$24,1,IF(SUM($J8:BD8)=0,0,1))))*BE$26</f>
        <v>#N/A</v>
      </c>
      <c r="BF8" s="119" t="str">
        <f>IF('1.G.Data'!C$14="","Alert: Fill Duration (months) on sheet 1. G.DATA",IF(G8="","",IF(H8&gt;BG8,$BJ$4,CONCATENATE($BI$10,BG8,$BI$11))))</f>
        <v/>
      </c>
      <c r="BG8" s="566">
        <f>IF(G8="",0,'1.G.Data'!C$14+1-'3.Tasks'!G8)</f>
        <v>0</v>
      </c>
      <c r="BK8" s="122" t="str">
        <f t="shared" si="4"/>
        <v>N/A</v>
      </c>
      <c r="BL8" s="120" t="e">
        <f t="shared" ca="1" si="5"/>
        <v>#N/A</v>
      </c>
      <c r="BM8" s="120" t="e">
        <f t="shared" ca="1" si="6"/>
        <v>#N/A</v>
      </c>
      <c r="BN8" s="120" t="e">
        <f t="shared" ca="1" si="7"/>
        <v>#N/A</v>
      </c>
      <c r="BO8" s="120" t="e">
        <f t="shared" ca="1" si="8"/>
        <v>#N/A</v>
      </c>
    </row>
    <row r="9" spans="1:82">
      <c r="A9" t="s">
        <v>23</v>
      </c>
      <c r="B9" s="3" t="s">
        <v>823</v>
      </c>
      <c r="C9" s="106"/>
      <c r="D9" s="106"/>
      <c r="E9" s="106"/>
      <c r="F9" s="107"/>
      <c r="G9" s="108"/>
      <c r="H9" s="108"/>
      <c r="I9" s="10">
        <f t="shared" si="1"/>
        <v>0</v>
      </c>
      <c r="J9" s="8">
        <f t="shared" ca="1" si="2"/>
        <v>0</v>
      </c>
      <c r="K9" s="8">
        <f t="shared" ca="1" si="3"/>
        <v>0</v>
      </c>
      <c r="L9" s="8" t="e">
        <f ca="1">(IF(SUM($J9:K9)&gt;($H9-1),0,IF($G9=L$24,1,IF(SUM($J9:K9)=0,0,1))))*L$26</f>
        <v>#N/A</v>
      </c>
      <c r="M9" s="8" t="e">
        <f ca="1">(IF(SUM($J9:L9)&gt;($H9-1),0,IF($G9=M$24,1,IF(SUM($J9:L9)=0,0,1))))*M$26</f>
        <v>#N/A</v>
      </c>
      <c r="N9" s="8" t="e">
        <f ca="1">(IF(SUM($J9:M9)&gt;($H9-1),0,IF($G9=N$24,1,IF(SUM($J9:M9)=0,0,1))))*N$26</f>
        <v>#N/A</v>
      </c>
      <c r="O9" s="8" t="e">
        <f ca="1">(IF(SUM($J9:N9)&gt;($H9-1),0,IF($G9=O$24,1,IF(SUM($J9:N9)=0,0,1))))*O$26</f>
        <v>#N/A</v>
      </c>
      <c r="P9" s="8" t="e">
        <f ca="1">(IF(SUM($J9:O9)&gt;($H9-1),0,IF($G9=P$24,1,IF(SUM($J9:O9)=0,0,1))))*P$26</f>
        <v>#N/A</v>
      </c>
      <c r="Q9" s="8" t="e">
        <f ca="1">(IF(SUM($J9:P9)&gt;($H9-1),0,IF($G9=Q$24,1,IF(SUM($J9:P9)=0,0,1))))*Q$26</f>
        <v>#N/A</v>
      </c>
      <c r="R9" s="8" t="e">
        <f ca="1">(IF(SUM($J9:Q9)&gt;($H9-1),0,IF($G9=R$24,1,IF(SUM($J9:Q9)=0,0,1))))*R$26</f>
        <v>#N/A</v>
      </c>
      <c r="S9" s="8" t="e">
        <f ca="1">(IF(SUM($J9:R9)&gt;($H9-1),0,IF($G9=S$24,1,IF(SUM($J9:R9)=0,0,1))))*S$26</f>
        <v>#N/A</v>
      </c>
      <c r="T9" s="8" t="e">
        <f ca="1">(IF(SUM($J9:S9)&gt;($H9-1),0,IF($G9=T$24,1,IF(SUM($J9:S9)=0,0,1))))*T$26</f>
        <v>#N/A</v>
      </c>
      <c r="U9" s="8" t="e">
        <f ca="1">(IF(SUM($J9:T9)&gt;($H9-1),0,IF($G9=U$24,1,IF(SUM($J9:T9)=0,0,1))))*U$26</f>
        <v>#N/A</v>
      </c>
      <c r="V9" s="8" t="e">
        <f ca="1">(IF(SUM($J9:U9)&gt;($H9-1),0,IF($G9=V$24,1,IF(SUM($J9:U9)=0,0,1))))*V$26</f>
        <v>#N/A</v>
      </c>
      <c r="W9" s="8" t="e">
        <f ca="1">(IF(SUM($J9:V9)&gt;($H9-1),0,IF($G9=W$24,1,IF(SUM($J9:V9)=0,0,1))))*W$26</f>
        <v>#N/A</v>
      </c>
      <c r="X9" s="8" t="e">
        <f ca="1">(IF(SUM($J9:W9)&gt;($H9-1),0,IF($G9=X$24,1,IF(SUM($J9:W9)=0,0,1))))*X$26</f>
        <v>#N/A</v>
      </c>
      <c r="Y9" s="8" t="e">
        <f ca="1">(IF(SUM($J9:X9)&gt;($H9-1),0,IF($G9=Y$24,1,IF(SUM($J9:X9)=0,0,1))))*Y$26</f>
        <v>#N/A</v>
      </c>
      <c r="Z9" s="8" t="e">
        <f ca="1">(IF(SUM($J9:Y9)&gt;($H9-1),0,IF($G9=Z$24,1,IF(SUM($J9:Y9)=0,0,1))))*Z$26</f>
        <v>#N/A</v>
      </c>
      <c r="AA9" s="8" t="e">
        <f ca="1">(IF(SUM($J9:Z9)&gt;($H9-1),0,IF($G9=AA$24,1,IF(SUM($J9:Z9)=0,0,1))))*AA$26</f>
        <v>#N/A</v>
      </c>
      <c r="AB9" s="8" t="e">
        <f ca="1">(IF(SUM($J9:AA9)&gt;($H9-1),0,IF($G9=AB$24,1,IF(SUM($J9:AA9)=0,0,1))))*AB$26</f>
        <v>#N/A</v>
      </c>
      <c r="AC9" s="8" t="e">
        <f ca="1">(IF(SUM($J9:AB9)&gt;($H9-1),0,IF($G9=AC$24,1,IF(SUM($J9:AB9)=0,0,1))))*AC$26</f>
        <v>#N/A</v>
      </c>
      <c r="AD9" s="8" t="e">
        <f ca="1">(IF(SUM($J9:AC9)&gt;($H9-1),0,IF($G9=AD$24,1,IF(SUM($J9:AC9)=0,0,1))))*AD$26</f>
        <v>#N/A</v>
      </c>
      <c r="AE9" s="8" t="e">
        <f ca="1">(IF(SUM($J9:AD9)&gt;($H9-1),0,IF($G9=AE$24,1,IF(SUM($J9:AD9)=0,0,1))))*AE$26</f>
        <v>#N/A</v>
      </c>
      <c r="AF9" s="8" t="e">
        <f ca="1">(IF(SUM($J9:AE9)&gt;($H9-1),0,IF($G9=AF$24,1,IF(SUM($J9:AE9)=0,0,1))))*AF$26</f>
        <v>#N/A</v>
      </c>
      <c r="AG9" s="8" t="e">
        <f ca="1">(IF(SUM($J9:AF9)&gt;($H9-1),0,IF($G9=AG$24,1,IF(SUM($J9:AF9)=0,0,1))))*AG$26</f>
        <v>#N/A</v>
      </c>
      <c r="AH9" s="8" t="e">
        <f ca="1">(IF(SUM($J9:AG9)&gt;($H9-1),0,IF($G9=AH$24,1,IF(SUM($J9:AG9)=0,0,1))))*AH$26</f>
        <v>#N/A</v>
      </c>
      <c r="AI9" s="8" t="e">
        <f ca="1">(IF(SUM($J9:AH9)&gt;($H9-1),0,IF($G9=AI$24,1,IF(SUM($J9:AH9)=0,0,1))))*AI$26</f>
        <v>#N/A</v>
      </c>
      <c r="AJ9" s="8" t="e">
        <f ca="1">(IF(SUM($J9:AI9)&gt;($H9-1),0,IF($G9=AJ$24,1,IF(SUM($J9:AI9)=0,0,1))))*AJ$26</f>
        <v>#N/A</v>
      </c>
      <c r="AK9" s="8" t="e">
        <f ca="1">(IF(SUM($J9:AJ9)&gt;($H9-1),0,IF($G9=AK$24,1,IF(SUM($J9:AJ9)=0,0,1))))*AK$26</f>
        <v>#N/A</v>
      </c>
      <c r="AL9" s="8" t="e">
        <f ca="1">(IF(SUM($J9:AK9)&gt;($H9-1),0,IF($G9=AL$24,1,IF(SUM($J9:AK9)=0,0,1))))*AL$26</f>
        <v>#N/A</v>
      </c>
      <c r="AM9" s="8" t="e">
        <f ca="1">(IF(SUM($J9:AL9)&gt;($H9-1),0,IF($G9=AM$24,1,IF(SUM($J9:AL9)=0,0,1))))*AM$26</f>
        <v>#N/A</v>
      </c>
      <c r="AN9" s="8" t="e">
        <f ca="1">(IF(SUM($J9:AM9)&gt;($H9-1),0,IF($G9=AN$24,1,IF(SUM($J9:AM9)=0,0,1))))*AN$26</f>
        <v>#N/A</v>
      </c>
      <c r="AO9" s="8" t="e">
        <f ca="1">(IF(SUM($J9:AN9)&gt;($H9-1),0,IF($G9=AO$24,1,IF(SUM($J9:AN9)=0,0,1))))*AO$26</f>
        <v>#N/A</v>
      </c>
      <c r="AP9" s="8" t="e">
        <f ca="1">(IF(SUM($J9:AO9)&gt;($H9-1),0,IF($G9=AP$24,1,IF(SUM($J9:AO9)=0,0,1))))*AP$26</f>
        <v>#N/A</v>
      </c>
      <c r="AQ9" s="8" t="e">
        <f ca="1">(IF(SUM($J9:AP9)&gt;($H9-1),0,IF($G9=AQ$24,1,IF(SUM($J9:AP9)=0,0,1))))*AQ$26</f>
        <v>#N/A</v>
      </c>
      <c r="AR9" s="8" t="e">
        <f ca="1">(IF(SUM($J9:AQ9)&gt;($H9-1),0,IF($G9=AR$24,1,IF(SUM($J9:AQ9)=0,0,1))))*AR$26</f>
        <v>#N/A</v>
      </c>
      <c r="AS9" s="8" t="e">
        <f ca="1">(IF(SUM($J9:AR9)&gt;($H9-1),0,IF($G9=AS$24,1,IF(SUM($J9:AR9)=0,0,1))))*AS$26</f>
        <v>#N/A</v>
      </c>
      <c r="AT9" s="8" t="e">
        <f ca="1">(IF(SUM($J9:AS9)&gt;($H9-1),0,IF($G9=AT$24,1,IF(SUM($J9:AS9)=0,0,1))))*AT$26</f>
        <v>#N/A</v>
      </c>
      <c r="AU9" s="8" t="e">
        <f ca="1">(IF(SUM($J9:AT9)&gt;($H9-1),0,IF($G9=AU$24,1,IF(SUM($J9:AT9)=0,0,1))))*AU$26</f>
        <v>#N/A</v>
      </c>
      <c r="AV9" s="8" t="e">
        <f ca="1">(IF(SUM($J9:AU9)&gt;($H9-1),0,IF($G9=AV$24,1,IF(SUM($J9:AU9)=0,0,1))))*AV$26</f>
        <v>#N/A</v>
      </c>
      <c r="AW9" s="8" t="e">
        <f ca="1">(IF(SUM($J9:AV9)&gt;($H9-1),0,IF($G9=AW$24,1,IF(SUM($J9:AV9)=0,0,1))))*AW$26</f>
        <v>#N/A</v>
      </c>
      <c r="AX9" s="8" t="e">
        <f ca="1">(IF(SUM($J9:AW9)&gt;($H9-1),0,IF($G9=AX$24,1,IF(SUM($J9:AW9)=0,0,1))))*AX$26</f>
        <v>#N/A</v>
      </c>
      <c r="AY9" s="8" t="e">
        <f ca="1">(IF(SUM($J9:AX9)&gt;($H9-1),0,IF($G9=AY$24,1,IF(SUM($J9:AX9)=0,0,1))))*AY$26</f>
        <v>#N/A</v>
      </c>
      <c r="AZ9" s="8" t="e">
        <f ca="1">(IF(SUM($J9:AY9)&gt;($H9-1),0,IF($G9=AZ$24,1,IF(SUM($J9:AY9)=0,0,1))))*AZ$26</f>
        <v>#N/A</v>
      </c>
      <c r="BA9" s="8" t="e">
        <f ca="1">(IF(SUM($J9:AZ9)&gt;($H9-1),0,IF($G9=BA$24,1,IF(SUM($J9:AZ9)=0,0,1))))*BA$26</f>
        <v>#N/A</v>
      </c>
      <c r="BB9" s="8" t="e">
        <f ca="1">(IF(SUM($J9:BA9)&gt;($H9-1),0,IF($G9=BB$24,1,IF(SUM($J9:BA9)=0,0,1))))*BB$26</f>
        <v>#N/A</v>
      </c>
      <c r="BC9" s="8" t="e">
        <f ca="1">(IF(SUM($J9:BB9)&gt;($H9-1),0,IF($G9=BC$24,1,IF(SUM($J9:BB9)=0,0,1))))*BC$26</f>
        <v>#N/A</v>
      </c>
      <c r="BD9" s="8" t="e">
        <f ca="1">(IF(SUM($J9:BC9)&gt;($H9-1),0,IF($G9=BD$24,1,IF(SUM($J9:BC9)=0,0,1))))*BD$26</f>
        <v>#N/A</v>
      </c>
      <c r="BE9" s="8" t="e">
        <f ca="1">(IF(SUM($J9:BD9)&gt;($H9-1),0,IF($G9=BE$24,1,IF(SUM($J9:BD9)=0,0,1))))*BE$26</f>
        <v>#N/A</v>
      </c>
      <c r="BF9" s="119" t="str">
        <f>IF('1.G.Data'!C$14="","Alert: Fill Duration (months) on sheet 1. G.DATA",IF(G9="","",IF(H9&gt;BG9,$BJ$4,CONCATENATE($BI$10,BG9,$BI$11))))</f>
        <v/>
      </c>
      <c r="BG9" s="566">
        <f>IF(G9="",0,'1.G.Data'!C$14+1-'3.Tasks'!G9)</f>
        <v>0</v>
      </c>
      <c r="BI9" s="122" t="s">
        <v>283</v>
      </c>
      <c r="BK9" s="122" t="str">
        <f t="shared" si="4"/>
        <v>N/A</v>
      </c>
      <c r="BL9" s="120" t="e">
        <f t="shared" ca="1" si="5"/>
        <v>#N/A</v>
      </c>
      <c r="BM9" s="120" t="e">
        <f t="shared" ca="1" si="6"/>
        <v>#N/A</v>
      </c>
      <c r="BN9" s="120" t="e">
        <f t="shared" ca="1" si="7"/>
        <v>#N/A</v>
      </c>
      <c r="BO9" s="120" t="e">
        <f t="shared" ca="1" si="8"/>
        <v>#N/A</v>
      </c>
    </row>
    <row r="10" spans="1:82">
      <c r="A10" t="s">
        <v>24</v>
      </c>
      <c r="B10" s="3" t="s">
        <v>824</v>
      </c>
      <c r="C10" s="106"/>
      <c r="D10" s="106"/>
      <c r="E10" s="106"/>
      <c r="F10" s="107"/>
      <c r="G10" s="108"/>
      <c r="H10" s="108"/>
      <c r="I10" s="10">
        <f t="shared" si="1"/>
        <v>0</v>
      </c>
      <c r="J10" s="8">
        <f t="shared" ca="1" si="2"/>
        <v>0</v>
      </c>
      <c r="K10" s="8">
        <f t="shared" ca="1" si="3"/>
        <v>0</v>
      </c>
      <c r="L10" s="8" t="e">
        <f ca="1">(IF(SUM($J10:K10)&gt;($H10-1),0,IF($G10=L$24,1,IF(SUM($J10:K10)=0,0,1))))*L$26</f>
        <v>#N/A</v>
      </c>
      <c r="M10" s="8" t="e">
        <f ca="1">(IF(SUM($J10:L10)&gt;($H10-1),0,IF($G10=M$24,1,IF(SUM($J10:L10)=0,0,1))))*M$26</f>
        <v>#N/A</v>
      </c>
      <c r="N10" s="8" t="e">
        <f ca="1">(IF(SUM($J10:M10)&gt;($H10-1),0,IF($G10=N$24,1,IF(SUM($J10:M10)=0,0,1))))*N$26</f>
        <v>#N/A</v>
      </c>
      <c r="O10" s="8" t="e">
        <f ca="1">(IF(SUM($J10:N10)&gt;($H10-1),0,IF($G10=O$24,1,IF(SUM($J10:N10)=0,0,1))))*O$26</f>
        <v>#N/A</v>
      </c>
      <c r="P10" s="8" t="e">
        <f ca="1">(IF(SUM($J10:O10)&gt;($H10-1),0,IF($G10=P$24,1,IF(SUM($J10:O10)=0,0,1))))*P$26</f>
        <v>#N/A</v>
      </c>
      <c r="Q10" s="8" t="e">
        <f ca="1">(IF(SUM($J10:P10)&gt;($H10-1),0,IF($G10=Q$24,1,IF(SUM($J10:P10)=0,0,1))))*Q$26</f>
        <v>#N/A</v>
      </c>
      <c r="R10" s="8" t="e">
        <f ca="1">(IF(SUM($J10:Q10)&gt;($H10-1),0,IF($G10=R$24,1,IF(SUM($J10:Q10)=0,0,1))))*R$26</f>
        <v>#N/A</v>
      </c>
      <c r="S10" s="8" t="e">
        <f ca="1">(IF(SUM($J10:R10)&gt;($H10-1),0,IF($G10=S$24,1,IF(SUM($J10:R10)=0,0,1))))*S$26</f>
        <v>#N/A</v>
      </c>
      <c r="T10" s="8" t="e">
        <f ca="1">(IF(SUM($J10:S10)&gt;($H10-1),0,IF($G10=T$24,1,IF(SUM($J10:S10)=0,0,1))))*T$26</f>
        <v>#N/A</v>
      </c>
      <c r="U10" s="8" t="e">
        <f ca="1">(IF(SUM($J10:T10)&gt;($H10-1),0,IF($G10=U$24,1,IF(SUM($J10:T10)=0,0,1))))*U$26</f>
        <v>#N/A</v>
      </c>
      <c r="V10" s="8" t="e">
        <f ca="1">(IF(SUM($J10:U10)&gt;($H10-1),0,IF($G10=V$24,1,IF(SUM($J10:U10)=0,0,1))))*V$26</f>
        <v>#N/A</v>
      </c>
      <c r="W10" s="8" t="e">
        <f ca="1">(IF(SUM($J10:V10)&gt;($H10-1),0,IF($G10=W$24,1,IF(SUM($J10:V10)=0,0,1))))*W$26</f>
        <v>#N/A</v>
      </c>
      <c r="X10" s="8" t="e">
        <f ca="1">(IF(SUM($J10:W10)&gt;($H10-1),0,IF($G10=X$24,1,IF(SUM($J10:W10)=0,0,1))))*X$26</f>
        <v>#N/A</v>
      </c>
      <c r="Y10" s="8" t="e">
        <f ca="1">(IF(SUM($J10:X10)&gt;($H10-1),0,IF($G10=Y$24,1,IF(SUM($J10:X10)=0,0,1))))*Y$26</f>
        <v>#N/A</v>
      </c>
      <c r="Z10" s="8" t="e">
        <f ca="1">(IF(SUM($J10:Y10)&gt;($H10-1),0,IF($G10=Z$24,1,IF(SUM($J10:Y10)=0,0,1))))*Z$26</f>
        <v>#N/A</v>
      </c>
      <c r="AA10" s="8" t="e">
        <f ca="1">(IF(SUM($J10:Z10)&gt;($H10-1),0,IF($G10=AA$24,1,IF(SUM($J10:Z10)=0,0,1))))*AA$26</f>
        <v>#N/A</v>
      </c>
      <c r="AB10" s="8" t="e">
        <f ca="1">(IF(SUM($J10:AA10)&gt;($H10-1),0,IF($G10=AB$24,1,IF(SUM($J10:AA10)=0,0,1))))*AB$26</f>
        <v>#N/A</v>
      </c>
      <c r="AC10" s="8" t="e">
        <f ca="1">(IF(SUM($J10:AB10)&gt;($H10-1),0,IF($G10=AC$24,1,IF(SUM($J10:AB10)=0,0,1))))*AC$26</f>
        <v>#N/A</v>
      </c>
      <c r="AD10" s="8" t="e">
        <f ca="1">(IF(SUM($J10:AC10)&gt;($H10-1),0,IF($G10=AD$24,1,IF(SUM($J10:AC10)=0,0,1))))*AD$26</f>
        <v>#N/A</v>
      </c>
      <c r="AE10" s="8" t="e">
        <f ca="1">(IF(SUM($J10:AD10)&gt;($H10-1),0,IF($G10=AE$24,1,IF(SUM($J10:AD10)=0,0,1))))*AE$26</f>
        <v>#N/A</v>
      </c>
      <c r="AF10" s="8" t="e">
        <f ca="1">(IF(SUM($J10:AE10)&gt;($H10-1),0,IF($G10=AF$24,1,IF(SUM($J10:AE10)=0,0,1))))*AF$26</f>
        <v>#N/A</v>
      </c>
      <c r="AG10" s="8" t="e">
        <f ca="1">(IF(SUM($J10:AF10)&gt;($H10-1),0,IF($G10=AG$24,1,IF(SUM($J10:AF10)=0,0,1))))*AG$26</f>
        <v>#N/A</v>
      </c>
      <c r="AH10" s="8" t="e">
        <f ca="1">(IF(SUM($J10:AG10)&gt;($H10-1),0,IF($G10=AH$24,1,IF(SUM($J10:AG10)=0,0,1))))*AH$26</f>
        <v>#N/A</v>
      </c>
      <c r="AI10" s="8" t="e">
        <f ca="1">(IF(SUM($J10:AH10)&gt;($H10-1),0,IF($G10=AI$24,1,IF(SUM($J10:AH10)=0,0,1))))*AI$26</f>
        <v>#N/A</v>
      </c>
      <c r="AJ10" s="8" t="e">
        <f ca="1">(IF(SUM($J10:AI10)&gt;($H10-1),0,IF($G10=AJ$24,1,IF(SUM($J10:AI10)=0,0,1))))*AJ$26</f>
        <v>#N/A</v>
      </c>
      <c r="AK10" s="8" t="e">
        <f ca="1">(IF(SUM($J10:AJ10)&gt;($H10-1),0,IF($G10=AK$24,1,IF(SUM($J10:AJ10)=0,0,1))))*AK$26</f>
        <v>#N/A</v>
      </c>
      <c r="AL10" s="8" t="e">
        <f ca="1">(IF(SUM($J10:AK10)&gt;($H10-1),0,IF($G10=AL$24,1,IF(SUM($J10:AK10)=0,0,1))))*AL$26</f>
        <v>#N/A</v>
      </c>
      <c r="AM10" s="8" t="e">
        <f ca="1">(IF(SUM($J10:AL10)&gt;($H10-1),0,IF($G10=AM$24,1,IF(SUM($J10:AL10)=0,0,1))))*AM$26</f>
        <v>#N/A</v>
      </c>
      <c r="AN10" s="8" t="e">
        <f ca="1">(IF(SUM($J10:AM10)&gt;($H10-1),0,IF($G10=AN$24,1,IF(SUM($J10:AM10)=0,0,1))))*AN$26</f>
        <v>#N/A</v>
      </c>
      <c r="AO10" s="8" t="e">
        <f ca="1">(IF(SUM($J10:AN10)&gt;($H10-1),0,IF($G10=AO$24,1,IF(SUM($J10:AN10)=0,0,1))))*AO$26</f>
        <v>#N/A</v>
      </c>
      <c r="AP10" s="8" t="e">
        <f ca="1">(IF(SUM($J10:AO10)&gt;($H10-1),0,IF($G10=AP$24,1,IF(SUM($J10:AO10)=0,0,1))))*AP$26</f>
        <v>#N/A</v>
      </c>
      <c r="AQ10" s="8" t="e">
        <f ca="1">(IF(SUM($J10:AP10)&gt;($H10-1),0,IF($G10=AQ$24,1,IF(SUM($J10:AP10)=0,0,1))))*AQ$26</f>
        <v>#N/A</v>
      </c>
      <c r="AR10" s="8" t="e">
        <f ca="1">(IF(SUM($J10:AQ10)&gt;($H10-1),0,IF($G10=AR$24,1,IF(SUM($J10:AQ10)=0,0,1))))*AR$26</f>
        <v>#N/A</v>
      </c>
      <c r="AS10" s="8" t="e">
        <f ca="1">(IF(SUM($J10:AR10)&gt;($H10-1),0,IF($G10=AS$24,1,IF(SUM($J10:AR10)=0,0,1))))*AS$26</f>
        <v>#N/A</v>
      </c>
      <c r="AT10" s="8" t="e">
        <f ca="1">(IF(SUM($J10:AS10)&gt;($H10-1),0,IF($G10=AT$24,1,IF(SUM($J10:AS10)=0,0,1))))*AT$26</f>
        <v>#N/A</v>
      </c>
      <c r="AU10" s="8" t="e">
        <f ca="1">(IF(SUM($J10:AT10)&gt;($H10-1),0,IF($G10=AU$24,1,IF(SUM($J10:AT10)=0,0,1))))*AU$26</f>
        <v>#N/A</v>
      </c>
      <c r="AV10" s="8" t="e">
        <f ca="1">(IF(SUM($J10:AU10)&gt;($H10-1),0,IF($G10=AV$24,1,IF(SUM($J10:AU10)=0,0,1))))*AV$26</f>
        <v>#N/A</v>
      </c>
      <c r="AW10" s="8" t="e">
        <f ca="1">(IF(SUM($J10:AV10)&gt;($H10-1),0,IF($G10=AW$24,1,IF(SUM($J10:AV10)=0,0,1))))*AW$26</f>
        <v>#N/A</v>
      </c>
      <c r="AX10" s="8" t="e">
        <f ca="1">(IF(SUM($J10:AW10)&gt;($H10-1),0,IF($G10=AX$24,1,IF(SUM($J10:AW10)=0,0,1))))*AX$26</f>
        <v>#N/A</v>
      </c>
      <c r="AY10" s="8" t="e">
        <f ca="1">(IF(SUM($J10:AX10)&gt;($H10-1),0,IF($G10=AY$24,1,IF(SUM($J10:AX10)=0,0,1))))*AY$26</f>
        <v>#N/A</v>
      </c>
      <c r="AZ10" s="8" t="e">
        <f ca="1">(IF(SUM($J10:AY10)&gt;($H10-1),0,IF($G10=AZ$24,1,IF(SUM($J10:AY10)=0,0,1))))*AZ$26</f>
        <v>#N/A</v>
      </c>
      <c r="BA10" s="8" t="e">
        <f ca="1">(IF(SUM($J10:AZ10)&gt;($H10-1),0,IF($G10=BA$24,1,IF(SUM($J10:AZ10)=0,0,1))))*BA$26</f>
        <v>#N/A</v>
      </c>
      <c r="BB10" s="8" t="e">
        <f ca="1">(IF(SUM($J10:BA10)&gt;($H10-1),0,IF($G10=BB$24,1,IF(SUM($J10:BA10)=0,0,1))))*BB$26</f>
        <v>#N/A</v>
      </c>
      <c r="BC10" s="8" t="e">
        <f ca="1">(IF(SUM($J10:BB10)&gt;($H10-1),0,IF($G10=BC$24,1,IF(SUM($J10:BB10)=0,0,1))))*BC$26</f>
        <v>#N/A</v>
      </c>
      <c r="BD10" s="8" t="e">
        <f ca="1">(IF(SUM($J10:BC10)&gt;($H10-1),0,IF($G10=BD$24,1,IF(SUM($J10:BC10)=0,0,1))))*BD$26</f>
        <v>#N/A</v>
      </c>
      <c r="BE10" s="8" t="e">
        <f ca="1">(IF(SUM($J10:BD10)&gt;($H10-1),0,IF($G10=BE$24,1,IF(SUM($J10:BD10)=0,0,1))))*BE$26</f>
        <v>#N/A</v>
      </c>
      <c r="BF10" s="119" t="str">
        <f>IF('1.G.Data'!C$14="","Alert: Fill Duration (months) on sheet 1. G.DATA",IF(G10="","",IF(H10&gt;BG10,$BJ$4,CONCATENATE($BI$10,BG10,$BI$11))))</f>
        <v/>
      </c>
      <c r="BG10" s="566">
        <f>IF(G10="",0,'1.G.Data'!C$14+1-'3.Tasks'!G10)</f>
        <v>0</v>
      </c>
      <c r="BI10" s="122" t="s">
        <v>756</v>
      </c>
      <c r="BK10" s="122" t="str">
        <f t="shared" si="4"/>
        <v>N/A</v>
      </c>
      <c r="BL10" s="120" t="e">
        <f t="shared" ca="1" si="5"/>
        <v>#N/A</v>
      </c>
      <c r="BM10" s="120" t="e">
        <f t="shared" ca="1" si="6"/>
        <v>#N/A</v>
      </c>
      <c r="BN10" s="120" t="e">
        <f t="shared" ca="1" si="7"/>
        <v>#N/A</v>
      </c>
      <c r="BO10" s="120" t="e">
        <f t="shared" ca="1" si="8"/>
        <v>#N/A</v>
      </c>
    </row>
    <row r="11" spans="1:82">
      <c r="A11" t="s">
        <v>25</v>
      </c>
      <c r="B11" s="3" t="s">
        <v>825</v>
      </c>
      <c r="C11" s="106"/>
      <c r="D11" s="106"/>
      <c r="E11" s="106"/>
      <c r="F11" s="107"/>
      <c r="G11" s="108"/>
      <c r="H11" s="108"/>
      <c r="I11" s="10">
        <f t="shared" si="1"/>
        <v>0</v>
      </c>
      <c r="J11" s="8">
        <f t="shared" ca="1" si="2"/>
        <v>0</v>
      </c>
      <c r="K11" s="8">
        <f t="shared" ca="1" si="3"/>
        <v>0</v>
      </c>
      <c r="L11" s="8" t="e">
        <f ca="1">(IF(SUM($J11:K11)&gt;($H11-1),0,IF($G11=L$24,1,IF(SUM($J11:K11)=0,0,1))))*L$26</f>
        <v>#N/A</v>
      </c>
      <c r="M11" s="8" t="e">
        <f ca="1">(IF(SUM($J11:L11)&gt;($H11-1),0,IF($G11=M$24,1,IF(SUM($J11:L11)=0,0,1))))*M$26</f>
        <v>#N/A</v>
      </c>
      <c r="N11" s="8" t="e">
        <f ca="1">(IF(SUM($J11:M11)&gt;($H11-1),0,IF($G11=N$24,1,IF(SUM($J11:M11)=0,0,1))))*N$26</f>
        <v>#N/A</v>
      </c>
      <c r="O11" s="8" t="e">
        <f ca="1">(IF(SUM($J11:N11)&gt;($H11-1),0,IF($G11=O$24,1,IF(SUM($J11:N11)=0,0,1))))*O$26</f>
        <v>#N/A</v>
      </c>
      <c r="P11" s="8" t="e">
        <f ca="1">(IF(SUM($J11:O11)&gt;($H11-1),0,IF($G11=P$24,1,IF(SUM($J11:O11)=0,0,1))))*P$26</f>
        <v>#N/A</v>
      </c>
      <c r="Q11" s="8" t="e">
        <f ca="1">(IF(SUM($J11:P11)&gt;($H11-1),0,IF($G11=Q$24,1,IF(SUM($J11:P11)=0,0,1))))*Q$26</f>
        <v>#N/A</v>
      </c>
      <c r="R11" s="8" t="e">
        <f ca="1">(IF(SUM($J11:Q11)&gt;($H11-1),0,IF($G11=R$24,1,IF(SUM($J11:Q11)=0,0,1))))*R$26</f>
        <v>#N/A</v>
      </c>
      <c r="S11" s="8" t="e">
        <f ca="1">(IF(SUM($J11:R11)&gt;($H11-1),0,IF($G11=S$24,1,IF(SUM($J11:R11)=0,0,1))))*S$26</f>
        <v>#N/A</v>
      </c>
      <c r="T11" s="8" t="e">
        <f ca="1">(IF(SUM($J11:S11)&gt;($H11-1),0,IF($G11=T$24,1,IF(SUM($J11:S11)=0,0,1))))*T$26</f>
        <v>#N/A</v>
      </c>
      <c r="U11" s="8" t="e">
        <f ca="1">(IF(SUM($J11:T11)&gt;($H11-1),0,IF($G11=U$24,1,IF(SUM($J11:T11)=0,0,1))))*U$26</f>
        <v>#N/A</v>
      </c>
      <c r="V11" s="8" t="e">
        <f ca="1">(IF(SUM($J11:U11)&gt;($H11-1),0,IF($G11=V$24,1,IF(SUM($J11:U11)=0,0,1))))*V$26</f>
        <v>#N/A</v>
      </c>
      <c r="W11" s="8" t="e">
        <f ca="1">(IF(SUM($J11:V11)&gt;($H11-1),0,IF($G11=W$24,1,IF(SUM($J11:V11)=0,0,1))))*W$26</f>
        <v>#N/A</v>
      </c>
      <c r="X11" s="8" t="e">
        <f ca="1">(IF(SUM($J11:W11)&gt;($H11-1),0,IF($G11=X$24,1,IF(SUM($J11:W11)=0,0,1))))*X$26</f>
        <v>#N/A</v>
      </c>
      <c r="Y11" s="8" t="e">
        <f ca="1">(IF(SUM($J11:X11)&gt;($H11-1),0,IF($G11=Y$24,1,IF(SUM($J11:X11)=0,0,1))))*Y$26</f>
        <v>#N/A</v>
      </c>
      <c r="Z11" s="8" t="e">
        <f ca="1">(IF(SUM($J11:Y11)&gt;($H11-1),0,IF($G11=Z$24,1,IF(SUM($J11:Y11)=0,0,1))))*Z$26</f>
        <v>#N/A</v>
      </c>
      <c r="AA11" s="8" t="e">
        <f ca="1">(IF(SUM($J11:Z11)&gt;($H11-1),0,IF($G11=AA$24,1,IF(SUM($J11:Z11)=0,0,1))))*AA$26</f>
        <v>#N/A</v>
      </c>
      <c r="AB11" s="8" t="e">
        <f ca="1">(IF(SUM($J11:AA11)&gt;($H11-1),0,IF($G11=AB$24,1,IF(SUM($J11:AA11)=0,0,1))))*AB$26</f>
        <v>#N/A</v>
      </c>
      <c r="AC11" s="8" t="e">
        <f ca="1">(IF(SUM($J11:AB11)&gt;($H11-1),0,IF($G11=AC$24,1,IF(SUM($J11:AB11)=0,0,1))))*AC$26</f>
        <v>#N/A</v>
      </c>
      <c r="AD11" s="8" t="e">
        <f ca="1">(IF(SUM($J11:AC11)&gt;($H11-1),0,IF($G11=AD$24,1,IF(SUM($J11:AC11)=0,0,1))))*AD$26</f>
        <v>#N/A</v>
      </c>
      <c r="AE11" s="8" t="e">
        <f ca="1">(IF(SUM($J11:AD11)&gt;($H11-1),0,IF($G11=AE$24,1,IF(SUM($J11:AD11)=0,0,1))))*AE$26</f>
        <v>#N/A</v>
      </c>
      <c r="AF11" s="8" t="e">
        <f ca="1">(IF(SUM($J11:AE11)&gt;($H11-1),0,IF($G11=AF$24,1,IF(SUM($J11:AE11)=0,0,1))))*AF$26</f>
        <v>#N/A</v>
      </c>
      <c r="AG11" s="8" t="e">
        <f ca="1">(IF(SUM($J11:AF11)&gt;($H11-1),0,IF($G11=AG$24,1,IF(SUM($J11:AF11)=0,0,1))))*AG$26</f>
        <v>#N/A</v>
      </c>
      <c r="AH11" s="8" t="e">
        <f ca="1">(IF(SUM($J11:AG11)&gt;($H11-1),0,IF($G11=AH$24,1,IF(SUM($J11:AG11)=0,0,1))))*AH$26</f>
        <v>#N/A</v>
      </c>
      <c r="AI11" s="8" t="e">
        <f ca="1">(IF(SUM($J11:AH11)&gt;($H11-1),0,IF($G11=AI$24,1,IF(SUM($J11:AH11)=0,0,1))))*AI$26</f>
        <v>#N/A</v>
      </c>
      <c r="AJ11" s="8" t="e">
        <f ca="1">(IF(SUM($J11:AI11)&gt;($H11-1),0,IF($G11=AJ$24,1,IF(SUM($J11:AI11)=0,0,1))))*AJ$26</f>
        <v>#N/A</v>
      </c>
      <c r="AK11" s="8" t="e">
        <f ca="1">(IF(SUM($J11:AJ11)&gt;($H11-1),0,IF($G11=AK$24,1,IF(SUM($J11:AJ11)=0,0,1))))*AK$26</f>
        <v>#N/A</v>
      </c>
      <c r="AL11" s="8" t="e">
        <f ca="1">(IF(SUM($J11:AK11)&gt;($H11-1),0,IF($G11=AL$24,1,IF(SUM($J11:AK11)=0,0,1))))*AL$26</f>
        <v>#N/A</v>
      </c>
      <c r="AM11" s="8" t="e">
        <f ca="1">(IF(SUM($J11:AL11)&gt;($H11-1),0,IF($G11=AM$24,1,IF(SUM($J11:AL11)=0,0,1))))*AM$26</f>
        <v>#N/A</v>
      </c>
      <c r="AN11" s="8" t="e">
        <f ca="1">(IF(SUM($J11:AM11)&gt;($H11-1),0,IF($G11=AN$24,1,IF(SUM($J11:AM11)=0,0,1))))*AN$26</f>
        <v>#N/A</v>
      </c>
      <c r="AO11" s="8" t="e">
        <f ca="1">(IF(SUM($J11:AN11)&gt;($H11-1),0,IF($G11=AO$24,1,IF(SUM($J11:AN11)=0,0,1))))*AO$26</f>
        <v>#N/A</v>
      </c>
      <c r="AP11" s="8" t="e">
        <f ca="1">(IF(SUM($J11:AO11)&gt;($H11-1),0,IF($G11=AP$24,1,IF(SUM($J11:AO11)=0,0,1))))*AP$26</f>
        <v>#N/A</v>
      </c>
      <c r="AQ11" s="8" t="e">
        <f ca="1">(IF(SUM($J11:AP11)&gt;($H11-1),0,IF($G11=AQ$24,1,IF(SUM($J11:AP11)=0,0,1))))*AQ$26</f>
        <v>#N/A</v>
      </c>
      <c r="AR11" s="8" t="e">
        <f ca="1">(IF(SUM($J11:AQ11)&gt;($H11-1),0,IF($G11=AR$24,1,IF(SUM($J11:AQ11)=0,0,1))))*AR$26</f>
        <v>#N/A</v>
      </c>
      <c r="AS11" s="8" t="e">
        <f ca="1">(IF(SUM($J11:AR11)&gt;($H11-1),0,IF($G11=AS$24,1,IF(SUM($J11:AR11)=0,0,1))))*AS$26</f>
        <v>#N/A</v>
      </c>
      <c r="AT11" s="8" t="e">
        <f ca="1">(IF(SUM($J11:AS11)&gt;($H11-1),0,IF($G11=AT$24,1,IF(SUM($J11:AS11)=0,0,1))))*AT$26</f>
        <v>#N/A</v>
      </c>
      <c r="AU11" s="8" t="e">
        <f ca="1">(IF(SUM($J11:AT11)&gt;($H11-1),0,IF($G11=AU$24,1,IF(SUM($J11:AT11)=0,0,1))))*AU$26</f>
        <v>#N/A</v>
      </c>
      <c r="AV11" s="8" t="e">
        <f ca="1">(IF(SUM($J11:AU11)&gt;($H11-1),0,IF($G11=AV$24,1,IF(SUM($J11:AU11)=0,0,1))))*AV$26</f>
        <v>#N/A</v>
      </c>
      <c r="AW11" s="8" t="e">
        <f ca="1">(IF(SUM($J11:AV11)&gt;($H11-1),0,IF($G11=AW$24,1,IF(SUM($J11:AV11)=0,0,1))))*AW$26</f>
        <v>#N/A</v>
      </c>
      <c r="AX11" s="8" t="e">
        <f ca="1">(IF(SUM($J11:AW11)&gt;($H11-1),0,IF($G11=AX$24,1,IF(SUM($J11:AW11)=0,0,1))))*AX$26</f>
        <v>#N/A</v>
      </c>
      <c r="AY11" s="8" t="e">
        <f ca="1">(IF(SUM($J11:AX11)&gt;($H11-1),0,IF($G11=AY$24,1,IF(SUM($J11:AX11)=0,0,1))))*AY$26</f>
        <v>#N/A</v>
      </c>
      <c r="AZ11" s="8" t="e">
        <f ca="1">(IF(SUM($J11:AY11)&gt;($H11-1),0,IF($G11=AZ$24,1,IF(SUM($J11:AY11)=0,0,1))))*AZ$26</f>
        <v>#N/A</v>
      </c>
      <c r="BA11" s="8" t="e">
        <f ca="1">(IF(SUM($J11:AZ11)&gt;($H11-1),0,IF($G11=BA$24,1,IF(SUM($J11:AZ11)=0,0,1))))*BA$26</f>
        <v>#N/A</v>
      </c>
      <c r="BB11" s="8" t="e">
        <f ca="1">(IF(SUM($J11:BA11)&gt;($H11-1),0,IF($G11=BB$24,1,IF(SUM($J11:BA11)=0,0,1))))*BB$26</f>
        <v>#N/A</v>
      </c>
      <c r="BC11" s="8" t="e">
        <f ca="1">(IF(SUM($J11:BB11)&gt;($H11-1),0,IF($G11=BC$24,1,IF(SUM($J11:BB11)=0,0,1))))*BC$26</f>
        <v>#N/A</v>
      </c>
      <c r="BD11" s="8" t="e">
        <f ca="1">(IF(SUM($J11:BC11)&gt;($H11-1),0,IF($G11=BD$24,1,IF(SUM($J11:BC11)=0,0,1))))*BD$26</f>
        <v>#N/A</v>
      </c>
      <c r="BE11" s="8" t="e">
        <f ca="1">(IF(SUM($J11:BD11)&gt;($H11-1),0,IF($G11=BE$24,1,IF(SUM($J11:BD11)=0,0,1))))*BE$26</f>
        <v>#N/A</v>
      </c>
      <c r="BF11" s="119" t="str">
        <f>IF('1.G.Data'!C$14="","Alert: Fill Duration (months) on sheet 1. G.DATA",IF(G11="","",IF(H11&gt;BG11,$BJ$4,CONCATENATE($BI$10,BG11,$BI$11))))</f>
        <v/>
      </c>
      <c r="BG11" s="566">
        <f>IF(G11="",0,'1.G.Data'!C$14+1-'3.Tasks'!G11)</f>
        <v>0</v>
      </c>
      <c r="BI11" s="122" t="s">
        <v>757</v>
      </c>
      <c r="BK11" s="122" t="str">
        <f t="shared" si="4"/>
        <v>N/A</v>
      </c>
      <c r="BL11" s="120" t="e">
        <f t="shared" ca="1" si="5"/>
        <v>#N/A</v>
      </c>
      <c r="BM11" s="120" t="e">
        <f t="shared" ca="1" si="6"/>
        <v>#N/A</v>
      </c>
      <c r="BN11" s="120" t="e">
        <f t="shared" ca="1" si="7"/>
        <v>#N/A</v>
      </c>
      <c r="BO11" s="120" t="e">
        <f t="shared" ca="1" si="8"/>
        <v>#N/A</v>
      </c>
    </row>
    <row r="12" spans="1:82">
      <c r="A12" t="s">
        <v>26</v>
      </c>
      <c r="B12" s="3" t="s">
        <v>826</v>
      </c>
      <c r="C12" s="106"/>
      <c r="D12" s="106"/>
      <c r="E12" s="106"/>
      <c r="F12" s="107"/>
      <c r="G12" s="108"/>
      <c r="H12" s="108"/>
      <c r="I12" s="10">
        <f t="shared" si="1"/>
        <v>0</v>
      </c>
      <c r="J12" s="8">
        <f t="shared" ca="1" si="2"/>
        <v>0</v>
      </c>
      <c r="K12" s="8">
        <f t="shared" ca="1" si="3"/>
        <v>0</v>
      </c>
      <c r="L12" s="8" t="e">
        <f ca="1">(IF(SUM($J12:K12)&gt;($H12-1),0,IF($G12=L$24,1,IF(SUM($J12:K12)=0,0,1))))*L$26</f>
        <v>#N/A</v>
      </c>
      <c r="M12" s="8" t="e">
        <f ca="1">(IF(SUM($J12:L12)&gt;($H12-1),0,IF($G12=M$24,1,IF(SUM($J12:L12)=0,0,1))))*M$26</f>
        <v>#N/A</v>
      </c>
      <c r="N12" s="8" t="e">
        <f ca="1">(IF(SUM($J12:M12)&gt;($H12-1),0,IF($G12=N$24,1,IF(SUM($J12:M12)=0,0,1))))*N$26</f>
        <v>#N/A</v>
      </c>
      <c r="O12" s="8" t="e">
        <f ca="1">(IF(SUM($J12:N12)&gt;($H12-1),0,IF($G12=O$24,1,IF(SUM($J12:N12)=0,0,1))))*O$26</f>
        <v>#N/A</v>
      </c>
      <c r="P12" s="8" t="e">
        <f ca="1">(IF(SUM($J12:O12)&gt;($H12-1),0,IF($G12=P$24,1,IF(SUM($J12:O12)=0,0,1))))*P$26</f>
        <v>#N/A</v>
      </c>
      <c r="Q12" s="8" t="e">
        <f ca="1">(IF(SUM($J12:P12)&gt;($H12-1),0,IF($G12=Q$24,1,IF(SUM($J12:P12)=0,0,1))))*Q$26</f>
        <v>#N/A</v>
      </c>
      <c r="R12" s="8" t="e">
        <f ca="1">(IF(SUM($J12:Q12)&gt;($H12-1),0,IF($G12=R$24,1,IF(SUM($J12:Q12)=0,0,1))))*R$26</f>
        <v>#N/A</v>
      </c>
      <c r="S12" s="8" t="e">
        <f ca="1">(IF(SUM($J12:R12)&gt;($H12-1),0,IF($G12=S$24,1,IF(SUM($J12:R12)=0,0,1))))*S$26</f>
        <v>#N/A</v>
      </c>
      <c r="T12" s="8" t="e">
        <f ca="1">(IF(SUM($J12:S12)&gt;($H12-1),0,IF($G12=T$24,1,IF(SUM($J12:S12)=0,0,1))))*T$26</f>
        <v>#N/A</v>
      </c>
      <c r="U12" s="8" t="e">
        <f ca="1">(IF(SUM($J12:T12)&gt;($H12-1),0,IF($G12=U$24,1,IF(SUM($J12:T12)=0,0,1))))*U$26</f>
        <v>#N/A</v>
      </c>
      <c r="V12" s="8" t="e">
        <f ca="1">(IF(SUM($J12:U12)&gt;($H12-1),0,IF($G12=V$24,1,IF(SUM($J12:U12)=0,0,1))))*V$26</f>
        <v>#N/A</v>
      </c>
      <c r="W12" s="8" t="e">
        <f ca="1">(IF(SUM($J12:V12)&gt;($H12-1),0,IF($G12=W$24,1,IF(SUM($J12:V12)=0,0,1))))*W$26</f>
        <v>#N/A</v>
      </c>
      <c r="X12" s="8" t="e">
        <f ca="1">(IF(SUM($J12:W12)&gt;($H12-1),0,IF($G12=X$24,1,IF(SUM($J12:W12)=0,0,1))))*X$26</f>
        <v>#N/A</v>
      </c>
      <c r="Y12" s="8" t="e">
        <f ca="1">(IF(SUM($J12:X12)&gt;($H12-1),0,IF($G12=Y$24,1,IF(SUM($J12:X12)=0,0,1))))*Y$26</f>
        <v>#N/A</v>
      </c>
      <c r="Z12" s="8" t="e">
        <f ca="1">(IF(SUM($J12:Y12)&gt;($H12-1),0,IF($G12=Z$24,1,IF(SUM($J12:Y12)=0,0,1))))*Z$26</f>
        <v>#N/A</v>
      </c>
      <c r="AA12" s="8" t="e">
        <f ca="1">(IF(SUM($J12:Z12)&gt;($H12-1),0,IF($G12=AA$24,1,IF(SUM($J12:Z12)=0,0,1))))*AA$26</f>
        <v>#N/A</v>
      </c>
      <c r="AB12" s="8" t="e">
        <f ca="1">(IF(SUM($J12:AA12)&gt;($H12-1),0,IF($G12=AB$24,1,IF(SUM($J12:AA12)=0,0,1))))*AB$26</f>
        <v>#N/A</v>
      </c>
      <c r="AC12" s="8" t="e">
        <f ca="1">(IF(SUM($J12:AB12)&gt;($H12-1),0,IF($G12=AC$24,1,IF(SUM($J12:AB12)=0,0,1))))*AC$26</f>
        <v>#N/A</v>
      </c>
      <c r="AD12" s="8" t="e">
        <f ca="1">(IF(SUM($J12:AC12)&gt;($H12-1),0,IF($G12=AD$24,1,IF(SUM($J12:AC12)=0,0,1))))*AD$26</f>
        <v>#N/A</v>
      </c>
      <c r="AE12" s="8" t="e">
        <f ca="1">(IF(SUM($J12:AD12)&gt;($H12-1),0,IF($G12=AE$24,1,IF(SUM($J12:AD12)=0,0,1))))*AE$26</f>
        <v>#N/A</v>
      </c>
      <c r="AF12" s="8" t="e">
        <f ca="1">(IF(SUM($J12:AE12)&gt;($H12-1),0,IF($G12=AF$24,1,IF(SUM($J12:AE12)=0,0,1))))*AF$26</f>
        <v>#N/A</v>
      </c>
      <c r="AG12" s="8" t="e">
        <f ca="1">(IF(SUM($J12:AF12)&gt;($H12-1),0,IF($G12=AG$24,1,IF(SUM($J12:AF12)=0,0,1))))*AG$26</f>
        <v>#N/A</v>
      </c>
      <c r="AH12" s="8" t="e">
        <f ca="1">(IF(SUM($J12:AG12)&gt;($H12-1),0,IF($G12=AH$24,1,IF(SUM($J12:AG12)=0,0,1))))*AH$26</f>
        <v>#N/A</v>
      </c>
      <c r="AI12" s="8" t="e">
        <f ca="1">(IF(SUM($J12:AH12)&gt;($H12-1),0,IF($G12=AI$24,1,IF(SUM($J12:AH12)=0,0,1))))*AI$26</f>
        <v>#N/A</v>
      </c>
      <c r="AJ12" s="8" t="e">
        <f ca="1">(IF(SUM($J12:AI12)&gt;($H12-1),0,IF($G12=AJ$24,1,IF(SUM($J12:AI12)=0,0,1))))*AJ$26</f>
        <v>#N/A</v>
      </c>
      <c r="AK12" s="8" t="e">
        <f ca="1">(IF(SUM($J12:AJ12)&gt;($H12-1),0,IF($G12=AK$24,1,IF(SUM($J12:AJ12)=0,0,1))))*AK$26</f>
        <v>#N/A</v>
      </c>
      <c r="AL12" s="8" t="e">
        <f ca="1">(IF(SUM($J12:AK12)&gt;($H12-1),0,IF($G12=AL$24,1,IF(SUM($J12:AK12)=0,0,1))))*AL$26</f>
        <v>#N/A</v>
      </c>
      <c r="AM12" s="8" t="e">
        <f ca="1">(IF(SUM($J12:AL12)&gt;($H12-1),0,IF($G12=AM$24,1,IF(SUM($J12:AL12)=0,0,1))))*AM$26</f>
        <v>#N/A</v>
      </c>
      <c r="AN12" s="8" t="e">
        <f ca="1">(IF(SUM($J12:AM12)&gt;($H12-1),0,IF($G12=AN$24,1,IF(SUM($J12:AM12)=0,0,1))))*AN$26</f>
        <v>#N/A</v>
      </c>
      <c r="AO12" s="8" t="e">
        <f ca="1">(IF(SUM($J12:AN12)&gt;($H12-1),0,IF($G12=AO$24,1,IF(SUM($J12:AN12)=0,0,1))))*AO$26</f>
        <v>#N/A</v>
      </c>
      <c r="AP12" s="8" t="e">
        <f ca="1">(IF(SUM($J12:AO12)&gt;($H12-1),0,IF($G12=AP$24,1,IF(SUM($J12:AO12)=0,0,1))))*AP$26</f>
        <v>#N/A</v>
      </c>
      <c r="AQ12" s="8" t="e">
        <f ca="1">(IF(SUM($J12:AP12)&gt;($H12-1),0,IF($G12=AQ$24,1,IF(SUM($J12:AP12)=0,0,1))))*AQ$26</f>
        <v>#N/A</v>
      </c>
      <c r="AR12" s="8" t="e">
        <f ca="1">(IF(SUM($J12:AQ12)&gt;($H12-1),0,IF($G12=AR$24,1,IF(SUM($J12:AQ12)=0,0,1))))*AR$26</f>
        <v>#N/A</v>
      </c>
      <c r="AS12" s="8" t="e">
        <f ca="1">(IF(SUM($J12:AR12)&gt;($H12-1),0,IF($G12=AS$24,1,IF(SUM($J12:AR12)=0,0,1))))*AS$26</f>
        <v>#N/A</v>
      </c>
      <c r="AT12" s="8" t="e">
        <f ca="1">(IF(SUM($J12:AS12)&gt;($H12-1),0,IF($G12=AT$24,1,IF(SUM($J12:AS12)=0,0,1))))*AT$26</f>
        <v>#N/A</v>
      </c>
      <c r="AU12" s="8" t="e">
        <f ca="1">(IF(SUM($J12:AT12)&gt;($H12-1),0,IF($G12=AU$24,1,IF(SUM($J12:AT12)=0,0,1))))*AU$26</f>
        <v>#N/A</v>
      </c>
      <c r="AV12" s="8" t="e">
        <f ca="1">(IF(SUM($J12:AU12)&gt;($H12-1),0,IF($G12=AV$24,1,IF(SUM($J12:AU12)=0,0,1))))*AV$26</f>
        <v>#N/A</v>
      </c>
      <c r="AW12" s="8" t="e">
        <f ca="1">(IF(SUM($J12:AV12)&gt;($H12-1),0,IF($G12=AW$24,1,IF(SUM($J12:AV12)=0,0,1))))*AW$26</f>
        <v>#N/A</v>
      </c>
      <c r="AX12" s="8" t="e">
        <f ca="1">(IF(SUM($J12:AW12)&gt;($H12-1),0,IF($G12=AX$24,1,IF(SUM($J12:AW12)=0,0,1))))*AX$26</f>
        <v>#N/A</v>
      </c>
      <c r="AY12" s="8" t="e">
        <f ca="1">(IF(SUM($J12:AX12)&gt;($H12-1),0,IF($G12=AY$24,1,IF(SUM($J12:AX12)=0,0,1))))*AY$26</f>
        <v>#N/A</v>
      </c>
      <c r="AZ12" s="8" t="e">
        <f ca="1">(IF(SUM($J12:AY12)&gt;($H12-1),0,IF($G12=AZ$24,1,IF(SUM($J12:AY12)=0,0,1))))*AZ$26</f>
        <v>#N/A</v>
      </c>
      <c r="BA12" s="8" t="e">
        <f ca="1">(IF(SUM($J12:AZ12)&gt;($H12-1),0,IF($G12=BA$24,1,IF(SUM($J12:AZ12)=0,0,1))))*BA$26</f>
        <v>#N/A</v>
      </c>
      <c r="BB12" s="8" t="e">
        <f ca="1">(IF(SUM($J12:BA12)&gt;($H12-1),0,IF($G12=BB$24,1,IF(SUM($J12:BA12)=0,0,1))))*BB$26</f>
        <v>#N/A</v>
      </c>
      <c r="BC12" s="8" t="e">
        <f ca="1">(IF(SUM($J12:BB12)&gt;($H12-1),0,IF($G12=BC$24,1,IF(SUM($J12:BB12)=0,0,1))))*BC$26</f>
        <v>#N/A</v>
      </c>
      <c r="BD12" s="8" t="e">
        <f ca="1">(IF(SUM($J12:BC12)&gt;($H12-1),0,IF($G12=BD$24,1,IF(SUM($J12:BC12)=0,0,1))))*BD$26</f>
        <v>#N/A</v>
      </c>
      <c r="BE12" s="8" t="e">
        <f ca="1">(IF(SUM($J12:BD12)&gt;($H12-1),0,IF($G12=BE$24,1,IF(SUM($J12:BD12)=0,0,1))))*BE$26</f>
        <v>#N/A</v>
      </c>
      <c r="BF12" s="119" t="str">
        <f>IF('1.G.Data'!C$14="","Alert: Fill Duration (months) on sheet 1. G.DATA",IF(G12="","",IF(H12&gt;BG12,$BJ$4,CONCATENATE($BI$10,BG12,$BI$11))))</f>
        <v/>
      </c>
      <c r="BG12" s="566">
        <f>IF(G12="",0,'1.G.Data'!C$14+1-'3.Tasks'!G12)</f>
        <v>0</v>
      </c>
      <c r="BK12" s="122" t="str">
        <f t="shared" si="4"/>
        <v>N/A</v>
      </c>
      <c r="BL12" s="120" t="e">
        <f t="shared" ca="1" si="5"/>
        <v>#N/A</v>
      </c>
      <c r="BM12" s="120" t="e">
        <f t="shared" ca="1" si="6"/>
        <v>#N/A</v>
      </c>
      <c r="BN12" s="120" t="e">
        <f t="shared" ca="1" si="7"/>
        <v>#N/A</v>
      </c>
      <c r="BO12" s="120" t="e">
        <f t="shared" ca="1" si="8"/>
        <v>#N/A</v>
      </c>
    </row>
    <row r="13" spans="1:82">
      <c r="A13" t="s">
        <v>27</v>
      </c>
      <c r="B13" s="3" t="s">
        <v>827</v>
      </c>
      <c r="C13" s="106"/>
      <c r="D13" s="106"/>
      <c r="E13" s="106"/>
      <c r="F13" s="107"/>
      <c r="G13" s="108"/>
      <c r="H13" s="108"/>
      <c r="I13" s="10">
        <f t="shared" si="1"/>
        <v>0</v>
      </c>
      <c r="J13" s="8">
        <f t="shared" ca="1" si="2"/>
        <v>0</v>
      </c>
      <c r="K13" s="8">
        <f t="shared" ca="1" si="3"/>
        <v>0</v>
      </c>
      <c r="L13" s="8" t="e">
        <f ca="1">(IF(SUM($J13:K13)&gt;($H13-1),0,IF($G13=L$24,1,IF(SUM($J13:K13)=0,0,1))))*L$26</f>
        <v>#N/A</v>
      </c>
      <c r="M13" s="8" t="e">
        <f ca="1">(IF(SUM($J13:L13)&gt;($H13-1),0,IF($G13=M$24,1,IF(SUM($J13:L13)=0,0,1))))*M$26</f>
        <v>#N/A</v>
      </c>
      <c r="N13" s="8" t="e">
        <f ca="1">(IF(SUM($J13:M13)&gt;($H13-1),0,IF($G13=N$24,1,IF(SUM($J13:M13)=0,0,1))))*N$26</f>
        <v>#N/A</v>
      </c>
      <c r="O13" s="8" t="e">
        <f ca="1">(IF(SUM($J13:N13)&gt;($H13-1),0,IF($G13=O$24,1,IF(SUM($J13:N13)=0,0,1))))*O$26</f>
        <v>#N/A</v>
      </c>
      <c r="P13" s="8" t="e">
        <f ca="1">(IF(SUM($J13:O13)&gt;($H13-1),0,IF($G13=P$24,1,IF(SUM($J13:O13)=0,0,1))))*P$26</f>
        <v>#N/A</v>
      </c>
      <c r="Q13" s="8" t="e">
        <f ca="1">(IF(SUM($J13:P13)&gt;($H13-1),0,IF($G13=Q$24,1,IF(SUM($J13:P13)=0,0,1))))*Q$26</f>
        <v>#N/A</v>
      </c>
      <c r="R13" s="8" t="e">
        <f ca="1">(IF(SUM($J13:Q13)&gt;($H13-1),0,IF($G13=R$24,1,IF(SUM($J13:Q13)=0,0,1))))*R$26</f>
        <v>#N/A</v>
      </c>
      <c r="S13" s="8" t="e">
        <f ca="1">(IF(SUM($J13:R13)&gt;($H13-1),0,IF($G13=S$24,1,IF(SUM($J13:R13)=0,0,1))))*S$26</f>
        <v>#N/A</v>
      </c>
      <c r="T13" s="8" t="e">
        <f ca="1">(IF(SUM($J13:S13)&gt;($H13-1),0,IF($G13=T$24,1,IF(SUM($J13:S13)=0,0,1))))*T$26</f>
        <v>#N/A</v>
      </c>
      <c r="U13" s="8" t="e">
        <f ca="1">(IF(SUM($J13:T13)&gt;($H13-1),0,IF($G13=U$24,1,IF(SUM($J13:T13)=0,0,1))))*U$26</f>
        <v>#N/A</v>
      </c>
      <c r="V13" s="8" t="e">
        <f ca="1">(IF(SUM($J13:U13)&gt;($H13-1),0,IF($G13=V$24,1,IF(SUM($J13:U13)=0,0,1))))*V$26</f>
        <v>#N/A</v>
      </c>
      <c r="W13" s="8" t="e">
        <f ca="1">(IF(SUM($J13:V13)&gt;($H13-1),0,IF($G13=W$24,1,IF(SUM($J13:V13)=0,0,1))))*W$26</f>
        <v>#N/A</v>
      </c>
      <c r="X13" s="8" t="e">
        <f ca="1">(IF(SUM($J13:W13)&gt;($H13-1),0,IF($G13=X$24,1,IF(SUM($J13:W13)=0,0,1))))*X$26</f>
        <v>#N/A</v>
      </c>
      <c r="Y13" s="8" t="e">
        <f ca="1">(IF(SUM($J13:X13)&gt;($H13-1),0,IF($G13=Y$24,1,IF(SUM($J13:X13)=0,0,1))))*Y$26</f>
        <v>#N/A</v>
      </c>
      <c r="Z13" s="8" t="e">
        <f ca="1">(IF(SUM($J13:Y13)&gt;($H13-1),0,IF($G13=Z$24,1,IF(SUM($J13:Y13)=0,0,1))))*Z$26</f>
        <v>#N/A</v>
      </c>
      <c r="AA13" s="8" t="e">
        <f ca="1">(IF(SUM($J13:Z13)&gt;($H13-1),0,IF($G13=AA$24,1,IF(SUM($J13:Z13)=0,0,1))))*AA$26</f>
        <v>#N/A</v>
      </c>
      <c r="AB13" s="8" t="e">
        <f ca="1">(IF(SUM($J13:AA13)&gt;($H13-1),0,IF($G13=AB$24,1,IF(SUM($J13:AA13)=0,0,1))))*AB$26</f>
        <v>#N/A</v>
      </c>
      <c r="AC13" s="8" t="e">
        <f ca="1">(IF(SUM($J13:AB13)&gt;($H13-1),0,IF($G13=AC$24,1,IF(SUM($J13:AB13)=0,0,1))))*AC$26</f>
        <v>#N/A</v>
      </c>
      <c r="AD13" s="8" t="e">
        <f ca="1">(IF(SUM($J13:AC13)&gt;($H13-1),0,IF($G13=AD$24,1,IF(SUM($J13:AC13)=0,0,1))))*AD$26</f>
        <v>#N/A</v>
      </c>
      <c r="AE13" s="8" t="e">
        <f ca="1">(IF(SUM($J13:AD13)&gt;($H13-1),0,IF($G13=AE$24,1,IF(SUM($J13:AD13)=0,0,1))))*AE$26</f>
        <v>#N/A</v>
      </c>
      <c r="AF13" s="8" t="e">
        <f ca="1">(IF(SUM($J13:AE13)&gt;($H13-1),0,IF($G13=AF$24,1,IF(SUM($J13:AE13)=0,0,1))))*AF$26</f>
        <v>#N/A</v>
      </c>
      <c r="AG13" s="8" t="e">
        <f ca="1">(IF(SUM($J13:AF13)&gt;($H13-1),0,IF($G13=AG$24,1,IF(SUM($J13:AF13)=0,0,1))))*AG$26</f>
        <v>#N/A</v>
      </c>
      <c r="AH13" s="8" t="e">
        <f ca="1">(IF(SUM($J13:AG13)&gt;($H13-1),0,IF($G13=AH$24,1,IF(SUM($J13:AG13)=0,0,1))))*AH$26</f>
        <v>#N/A</v>
      </c>
      <c r="AI13" s="8" t="e">
        <f ca="1">(IF(SUM($J13:AH13)&gt;($H13-1),0,IF($G13=AI$24,1,IF(SUM($J13:AH13)=0,0,1))))*AI$26</f>
        <v>#N/A</v>
      </c>
      <c r="AJ13" s="8" t="e">
        <f ca="1">(IF(SUM($J13:AI13)&gt;($H13-1),0,IF($G13=AJ$24,1,IF(SUM($J13:AI13)=0,0,1))))*AJ$26</f>
        <v>#N/A</v>
      </c>
      <c r="AK13" s="8" t="e">
        <f ca="1">(IF(SUM($J13:AJ13)&gt;($H13-1),0,IF($G13=AK$24,1,IF(SUM($J13:AJ13)=0,0,1))))*AK$26</f>
        <v>#N/A</v>
      </c>
      <c r="AL13" s="8" t="e">
        <f ca="1">(IF(SUM($J13:AK13)&gt;($H13-1),0,IF($G13=AL$24,1,IF(SUM($J13:AK13)=0,0,1))))*AL$26</f>
        <v>#N/A</v>
      </c>
      <c r="AM13" s="8" t="e">
        <f ca="1">(IF(SUM($J13:AL13)&gt;($H13-1),0,IF($G13=AM$24,1,IF(SUM($J13:AL13)=0,0,1))))*AM$26</f>
        <v>#N/A</v>
      </c>
      <c r="AN13" s="8" t="e">
        <f ca="1">(IF(SUM($J13:AM13)&gt;($H13-1),0,IF($G13=AN$24,1,IF(SUM($J13:AM13)=0,0,1))))*AN$26</f>
        <v>#N/A</v>
      </c>
      <c r="AO13" s="8" t="e">
        <f ca="1">(IF(SUM($J13:AN13)&gt;($H13-1),0,IF($G13=AO$24,1,IF(SUM($J13:AN13)=0,0,1))))*AO$26</f>
        <v>#N/A</v>
      </c>
      <c r="AP13" s="8" t="e">
        <f ca="1">(IF(SUM($J13:AO13)&gt;($H13-1),0,IF($G13=AP$24,1,IF(SUM($J13:AO13)=0,0,1))))*AP$26</f>
        <v>#N/A</v>
      </c>
      <c r="AQ13" s="8" t="e">
        <f ca="1">(IF(SUM($J13:AP13)&gt;($H13-1),0,IF($G13=AQ$24,1,IF(SUM($J13:AP13)=0,0,1))))*AQ$26</f>
        <v>#N/A</v>
      </c>
      <c r="AR13" s="8" t="e">
        <f ca="1">(IF(SUM($J13:AQ13)&gt;($H13-1),0,IF($G13=AR$24,1,IF(SUM($J13:AQ13)=0,0,1))))*AR$26</f>
        <v>#N/A</v>
      </c>
      <c r="AS13" s="8" t="e">
        <f ca="1">(IF(SUM($J13:AR13)&gt;($H13-1),0,IF($G13=AS$24,1,IF(SUM($J13:AR13)=0,0,1))))*AS$26</f>
        <v>#N/A</v>
      </c>
      <c r="AT13" s="8" t="e">
        <f ca="1">(IF(SUM($J13:AS13)&gt;($H13-1),0,IF($G13=AT$24,1,IF(SUM($J13:AS13)=0,0,1))))*AT$26</f>
        <v>#N/A</v>
      </c>
      <c r="AU13" s="8" t="e">
        <f ca="1">(IF(SUM($J13:AT13)&gt;($H13-1),0,IF($G13=AU$24,1,IF(SUM($J13:AT13)=0,0,1))))*AU$26</f>
        <v>#N/A</v>
      </c>
      <c r="AV13" s="8" t="e">
        <f ca="1">(IF(SUM($J13:AU13)&gt;($H13-1),0,IF($G13=AV$24,1,IF(SUM($J13:AU13)=0,0,1))))*AV$26</f>
        <v>#N/A</v>
      </c>
      <c r="AW13" s="8" t="e">
        <f ca="1">(IF(SUM($J13:AV13)&gt;($H13-1),0,IF($G13=AW$24,1,IF(SUM($J13:AV13)=0,0,1))))*AW$26</f>
        <v>#N/A</v>
      </c>
      <c r="AX13" s="8" t="e">
        <f ca="1">(IF(SUM($J13:AW13)&gt;($H13-1),0,IF($G13=AX$24,1,IF(SUM($J13:AW13)=0,0,1))))*AX$26</f>
        <v>#N/A</v>
      </c>
      <c r="AY13" s="8" t="e">
        <f ca="1">(IF(SUM($J13:AX13)&gt;($H13-1),0,IF($G13=AY$24,1,IF(SUM($J13:AX13)=0,0,1))))*AY$26</f>
        <v>#N/A</v>
      </c>
      <c r="AZ13" s="8" t="e">
        <f ca="1">(IF(SUM($J13:AY13)&gt;($H13-1),0,IF($G13=AZ$24,1,IF(SUM($J13:AY13)=0,0,1))))*AZ$26</f>
        <v>#N/A</v>
      </c>
      <c r="BA13" s="8" t="e">
        <f ca="1">(IF(SUM($J13:AZ13)&gt;($H13-1),0,IF($G13=BA$24,1,IF(SUM($J13:AZ13)=0,0,1))))*BA$26</f>
        <v>#N/A</v>
      </c>
      <c r="BB13" s="8" t="e">
        <f ca="1">(IF(SUM($J13:BA13)&gt;($H13-1),0,IF($G13=BB$24,1,IF(SUM($J13:BA13)=0,0,1))))*BB$26</f>
        <v>#N/A</v>
      </c>
      <c r="BC13" s="8" t="e">
        <f ca="1">(IF(SUM($J13:BB13)&gt;($H13-1),0,IF($G13=BC$24,1,IF(SUM($J13:BB13)=0,0,1))))*BC$26</f>
        <v>#N/A</v>
      </c>
      <c r="BD13" s="8" t="e">
        <f ca="1">(IF(SUM($J13:BC13)&gt;($H13-1),0,IF($G13=BD$24,1,IF(SUM($J13:BC13)=0,0,1))))*BD$26</f>
        <v>#N/A</v>
      </c>
      <c r="BE13" s="8" t="e">
        <f ca="1">(IF(SUM($J13:BD13)&gt;($H13-1),0,IF($G13=BE$24,1,IF(SUM($J13:BD13)=0,0,1))))*BE$26</f>
        <v>#N/A</v>
      </c>
      <c r="BF13" s="119" t="str">
        <f>IF('1.G.Data'!C$14="","Alert: Fill Duration (months) on sheet 1. G.DATA",IF(G13="","",IF(H13&gt;BG13,$BJ$4,CONCATENATE($BI$10,BG13,$BI$11))))</f>
        <v/>
      </c>
      <c r="BG13" s="566">
        <f>IF(G13="",0,'1.G.Data'!C$14+1-'3.Tasks'!G13)</f>
        <v>0</v>
      </c>
      <c r="BK13" s="122" t="str">
        <f t="shared" si="4"/>
        <v>N/A</v>
      </c>
      <c r="BL13" s="120" t="e">
        <f t="shared" ca="1" si="5"/>
        <v>#N/A</v>
      </c>
      <c r="BM13" s="120" t="e">
        <f t="shared" ca="1" si="6"/>
        <v>#N/A</v>
      </c>
      <c r="BN13" s="120" t="e">
        <f t="shared" ca="1" si="7"/>
        <v>#N/A</v>
      </c>
      <c r="BO13" s="120" t="e">
        <f t="shared" ca="1" si="8"/>
        <v>#N/A</v>
      </c>
    </row>
    <row r="14" spans="1:82">
      <c r="A14" t="s">
        <v>28</v>
      </c>
      <c r="B14" s="3" t="s">
        <v>828</v>
      </c>
      <c r="C14" s="106"/>
      <c r="D14" s="106"/>
      <c r="E14" s="106"/>
      <c r="F14" s="107"/>
      <c r="G14" s="108"/>
      <c r="H14" s="108"/>
      <c r="I14" s="10">
        <f t="shared" si="1"/>
        <v>0</v>
      </c>
      <c r="J14" s="8">
        <f t="shared" ca="1" si="2"/>
        <v>0</v>
      </c>
      <c r="K14" s="8">
        <f t="shared" ca="1" si="3"/>
        <v>0</v>
      </c>
      <c r="L14" s="8" t="e">
        <f ca="1">(IF(SUM($J14:K14)&gt;($H14-1),0,IF($G14=L$24,1,IF(SUM($J14:K14)=0,0,1))))*L$26</f>
        <v>#N/A</v>
      </c>
      <c r="M14" s="8" t="e">
        <f ca="1">(IF(SUM($J14:L14)&gt;($H14-1),0,IF($G14=M$24,1,IF(SUM($J14:L14)=0,0,1))))*M$26</f>
        <v>#N/A</v>
      </c>
      <c r="N14" s="8" t="e">
        <f ca="1">(IF(SUM($J14:M14)&gt;($H14-1),0,IF($G14=N$24,1,IF(SUM($J14:M14)=0,0,1))))*N$26</f>
        <v>#N/A</v>
      </c>
      <c r="O14" s="8" t="e">
        <f ca="1">(IF(SUM($J14:N14)&gt;($H14-1),0,IF($G14=O$24,1,IF(SUM($J14:N14)=0,0,1))))*O$26</f>
        <v>#N/A</v>
      </c>
      <c r="P14" s="8" t="e">
        <f ca="1">(IF(SUM($J14:O14)&gt;($H14-1),0,IF($G14=P$24,1,IF(SUM($J14:O14)=0,0,1))))*P$26</f>
        <v>#N/A</v>
      </c>
      <c r="Q14" s="8" t="e">
        <f ca="1">(IF(SUM($J14:P14)&gt;($H14-1),0,IF($G14=Q$24,1,IF(SUM($J14:P14)=0,0,1))))*Q$26</f>
        <v>#N/A</v>
      </c>
      <c r="R14" s="8" t="e">
        <f ca="1">(IF(SUM($J14:Q14)&gt;($H14-1),0,IF($G14=R$24,1,IF(SUM($J14:Q14)=0,0,1))))*R$26</f>
        <v>#N/A</v>
      </c>
      <c r="S14" s="8" t="e">
        <f ca="1">(IF(SUM($J14:R14)&gt;($H14-1),0,IF($G14=S$24,1,IF(SUM($J14:R14)=0,0,1))))*S$26</f>
        <v>#N/A</v>
      </c>
      <c r="T14" s="8" t="e">
        <f ca="1">(IF(SUM($J14:S14)&gt;($H14-1),0,IF($G14=T$24,1,IF(SUM($J14:S14)=0,0,1))))*T$26</f>
        <v>#N/A</v>
      </c>
      <c r="U14" s="8" t="e">
        <f ca="1">(IF(SUM($J14:T14)&gt;($H14-1),0,IF($G14=U$24,1,IF(SUM($J14:T14)=0,0,1))))*U$26</f>
        <v>#N/A</v>
      </c>
      <c r="V14" s="8" t="e">
        <f ca="1">(IF(SUM($J14:U14)&gt;($H14-1),0,IF($G14=V$24,1,IF(SUM($J14:U14)=0,0,1))))*V$26</f>
        <v>#N/A</v>
      </c>
      <c r="W14" s="8" t="e">
        <f ca="1">(IF(SUM($J14:V14)&gt;($H14-1),0,IF($G14=W$24,1,IF(SUM($J14:V14)=0,0,1))))*W$26</f>
        <v>#N/A</v>
      </c>
      <c r="X14" s="8" t="e">
        <f ca="1">(IF(SUM($J14:W14)&gt;($H14-1),0,IF($G14=X$24,1,IF(SUM($J14:W14)=0,0,1))))*X$26</f>
        <v>#N/A</v>
      </c>
      <c r="Y14" s="8" t="e">
        <f ca="1">(IF(SUM($J14:X14)&gt;($H14-1),0,IF($G14=Y$24,1,IF(SUM($J14:X14)=0,0,1))))*Y$26</f>
        <v>#N/A</v>
      </c>
      <c r="Z14" s="8" t="e">
        <f ca="1">(IF(SUM($J14:Y14)&gt;($H14-1),0,IF($G14=Z$24,1,IF(SUM($J14:Y14)=0,0,1))))*Z$26</f>
        <v>#N/A</v>
      </c>
      <c r="AA14" s="8" t="e">
        <f ca="1">(IF(SUM($J14:Z14)&gt;($H14-1),0,IF($G14=AA$24,1,IF(SUM($J14:Z14)=0,0,1))))*AA$26</f>
        <v>#N/A</v>
      </c>
      <c r="AB14" s="8" t="e">
        <f ca="1">(IF(SUM($J14:AA14)&gt;($H14-1),0,IF($G14=AB$24,1,IF(SUM($J14:AA14)=0,0,1))))*AB$26</f>
        <v>#N/A</v>
      </c>
      <c r="AC14" s="8" t="e">
        <f ca="1">(IF(SUM($J14:AB14)&gt;($H14-1),0,IF($G14=AC$24,1,IF(SUM($J14:AB14)=0,0,1))))*AC$26</f>
        <v>#N/A</v>
      </c>
      <c r="AD14" s="8" t="e">
        <f ca="1">(IF(SUM($J14:AC14)&gt;($H14-1),0,IF($G14=AD$24,1,IF(SUM($J14:AC14)=0,0,1))))*AD$26</f>
        <v>#N/A</v>
      </c>
      <c r="AE14" s="8" t="e">
        <f ca="1">(IF(SUM($J14:AD14)&gt;($H14-1),0,IF($G14=AE$24,1,IF(SUM($J14:AD14)=0,0,1))))*AE$26</f>
        <v>#N/A</v>
      </c>
      <c r="AF14" s="8" t="e">
        <f ca="1">(IF(SUM($J14:AE14)&gt;($H14-1),0,IF($G14=AF$24,1,IF(SUM($J14:AE14)=0,0,1))))*AF$26</f>
        <v>#N/A</v>
      </c>
      <c r="AG14" s="8" t="e">
        <f ca="1">(IF(SUM($J14:AF14)&gt;($H14-1),0,IF($G14=AG$24,1,IF(SUM($J14:AF14)=0,0,1))))*AG$26</f>
        <v>#N/A</v>
      </c>
      <c r="AH14" s="8" t="e">
        <f ca="1">(IF(SUM($J14:AG14)&gt;($H14-1),0,IF($G14=AH$24,1,IF(SUM($J14:AG14)=0,0,1))))*AH$26</f>
        <v>#N/A</v>
      </c>
      <c r="AI14" s="8" t="e">
        <f ca="1">(IF(SUM($J14:AH14)&gt;($H14-1),0,IF($G14=AI$24,1,IF(SUM($J14:AH14)=0,0,1))))*AI$26</f>
        <v>#N/A</v>
      </c>
      <c r="AJ14" s="8" t="e">
        <f ca="1">(IF(SUM($J14:AI14)&gt;($H14-1),0,IF($G14=AJ$24,1,IF(SUM($J14:AI14)=0,0,1))))*AJ$26</f>
        <v>#N/A</v>
      </c>
      <c r="AK14" s="8" t="e">
        <f ca="1">(IF(SUM($J14:AJ14)&gt;($H14-1),0,IF($G14=AK$24,1,IF(SUM($J14:AJ14)=0,0,1))))*AK$26</f>
        <v>#N/A</v>
      </c>
      <c r="AL14" s="8" t="e">
        <f ca="1">(IF(SUM($J14:AK14)&gt;($H14-1),0,IF($G14=AL$24,1,IF(SUM($J14:AK14)=0,0,1))))*AL$26</f>
        <v>#N/A</v>
      </c>
      <c r="AM14" s="8" t="e">
        <f ca="1">(IF(SUM($J14:AL14)&gt;($H14-1),0,IF($G14=AM$24,1,IF(SUM($J14:AL14)=0,0,1))))*AM$26</f>
        <v>#N/A</v>
      </c>
      <c r="AN14" s="8" t="e">
        <f ca="1">(IF(SUM($J14:AM14)&gt;($H14-1),0,IF($G14=AN$24,1,IF(SUM($J14:AM14)=0,0,1))))*AN$26</f>
        <v>#N/A</v>
      </c>
      <c r="AO14" s="8" t="e">
        <f ca="1">(IF(SUM($J14:AN14)&gt;($H14-1),0,IF($G14=AO$24,1,IF(SUM($J14:AN14)=0,0,1))))*AO$26</f>
        <v>#N/A</v>
      </c>
      <c r="AP14" s="8" t="e">
        <f ca="1">(IF(SUM($J14:AO14)&gt;($H14-1),0,IF($G14=AP$24,1,IF(SUM($J14:AO14)=0,0,1))))*AP$26</f>
        <v>#N/A</v>
      </c>
      <c r="AQ14" s="8" t="e">
        <f ca="1">(IF(SUM($J14:AP14)&gt;($H14-1),0,IF($G14=AQ$24,1,IF(SUM($J14:AP14)=0,0,1))))*AQ$26</f>
        <v>#N/A</v>
      </c>
      <c r="AR14" s="8" t="e">
        <f ca="1">(IF(SUM($J14:AQ14)&gt;($H14-1),0,IF($G14=AR$24,1,IF(SUM($J14:AQ14)=0,0,1))))*AR$26</f>
        <v>#N/A</v>
      </c>
      <c r="AS14" s="8" t="e">
        <f ca="1">(IF(SUM($J14:AR14)&gt;($H14-1),0,IF($G14=AS$24,1,IF(SUM($J14:AR14)=0,0,1))))*AS$26</f>
        <v>#N/A</v>
      </c>
      <c r="AT14" s="8" t="e">
        <f ca="1">(IF(SUM($J14:AS14)&gt;($H14-1),0,IF($G14=AT$24,1,IF(SUM($J14:AS14)=0,0,1))))*AT$26</f>
        <v>#N/A</v>
      </c>
      <c r="AU14" s="8" t="e">
        <f ca="1">(IF(SUM($J14:AT14)&gt;($H14-1),0,IF($G14=AU$24,1,IF(SUM($J14:AT14)=0,0,1))))*AU$26</f>
        <v>#N/A</v>
      </c>
      <c r="AV14" s="8" t="e">
        <f ca="1">(IF(SUM($J14:AU14)&gt;($H14-1),0,IF($G14=AV$24,1,IF(SUM($J14:AU14)=0,0,1))))*AV$26</f>
        <v>#N/A</v>
      </c>
      <c r="AW14" s="8" t="e">
        <f ca="1">(IF(SUM($J14:AV14)&gt;($H14-1),0,IF($G14=AW$24,1,IF(SUM($J14:AV14)=0,0,1))))*AW$26</f>
        <v>#N/A</v>
      </c>
      <c r="AX14" s="8" t="e">
        <f ca="1">(IF(SUM($J14:AW14)&gt;($H14-1),0,IF($G14=AX$24,1,IF(SUM($J14:AW14)=0,0,1))))*AX$26</f>
        <v>#N/A</v>
      </c>
      <c r="AY14" s="8" t="e">
        <f ca="1">(IF(SUM($J14:AX14)&gt;($H14-1),0,IF($G14=AY$24,1,IF(SUM($J14:AX14)=0,0,1))))*AY$26</f>
        <v>#N/A</v>
      </c>
      <c r="AZ14" s="8" t="e">
        <f ca="1">(IF(SUM($J14:AY14)&gt;($H14-1),0,IF($G14=AZ$24,1,IF(SUM($J14:AY14)=0,0,1))))*AZ$26</f>
        <v>#N/A</v>
      </c>
      <c r="BA14" s="8" t="e">
        <f ca="1">(IF(SUM($J14:AZ14)&gt;($H14-1),0,IF($G14=BA$24,1,IF(SUM($J14:AZ14)=0,0,1))))*BA$26</f>
        <v>#N/A</v>
      </c>
      <c r="BB14" s="8" t="e">
        <f ca="1">(IF(SUM($J14:BA14)&gt;($H14-1),0,IF($G14=BB$24,1,IF(SUM($J14:BA14)=0,0,1))))*BB$26</f>
        <v>#N/A</v>
      </c>
      <c r="BC14" s="8" t="e">
        <f ca="1">(IF(SUM($J14:BB14)&gt;($H14-1),0,IF($G14=BC$24,1,IF(SUM($J14:BB14)=0,0,1))))*BC$26</f>
        <v>#N/A</v>
      </c>
      <c r="BD14" s="8" t="e">
        <f ca="1">(IF(SUM($J14:BC14)&gt;($H14-1),0,IF($G14=BD$24,1,IF(SUM($J14:BC14)=0,0,1))))*BD$26</f>
        <v>#N/A</v>
      </c>
      <c r="BE14" s="8" t="e">
        <f ca="1">(IF(SUM($J14:BD14)&gt;($H14-1),0,IF($G14=BE$24,1,IF(SUM($J14:BD14)=0,0,1))))*BE$26</f>
        <v>#N/A</v>
      </c>
      <c r="BF14" s="119" t="str">
        <f>IF('1.G.Data'!C$14="","Alert: Fill Duration (months) on sheet 1. G.DATA",IF(G14="","",IF(H14&gt;BG14,$BJ$4,CONCATENATE($BI$10,BG14,$BI$11))))</f>
        <v/>
      </c>
      <c r="BG14" s="566">
        <f>IF(G14="",0,'1.G.Data'!C$14+1-'3.Tasks'!G14)</f>
        <v>0</v>
      </c>
      <c r="BK14" s="122" t="str">
        <f t="shared" si="4"/>
        <v>N/A</v>
      </c>
      <c r="BL14" s="120" t="e">
        <f t="shared" ca="1" si="5"/>
        <v>#N/A</v>
      </c>
      <c r="BM14" s="120" t="e">
        <f t="shared" ca="1" si="6"/>
        <v>#N/A</v>
      </c>
      <c r="BN14" s="120" t="e">
        <f t="shared" ca="1" si="7"/>
        <v>#N/A</v>
      </c>
      <c r="BO14" s="120" t="e">
        <f t="shared" ca="1" si="8"/>
        <v>#N/A</v>
      </c>
    </row>
    <row r="15" spans="1:82">
      <c r="A15" t="s">
        <v>29</v>
      </c>
      <c r="B15" s="3" t="s">
        <v>829</v>
      </c>
      <c r="C15" s="106"/>
      <c r="D15" s="106"/>
      <c r="E15" s="106"/>
      <c r="F15" s="106"/>
      <c r="G15" s="108"/>
      <c r="H15" s="108"/>
      <c r="I15" s="10">
        <f t="shared" si="1"/>
        <v>0</v>
      </c>
      <c r="J15" s="8">
        <f t="shared" ca="1" si="2"/>
        <v>0</v>
      </c>
      <c r="K15" s="8">
        <f t="shared" ca="1" si="3"/>
        <v>0</v>
      </c>
      <c r="L15" s="8" t="e">
        <f ca="1">(IF(SUM($J15:K15)&gt;($H15-1),0,IF($G15=L$24,1,IF(SUM($J15:K15)=0,0,1))))*L$26</f>
        <v>#N/A</v>
      </c>
      <c r="M15" s="8" t="e">
        <f ca="1">(IF(SUM($J15:L15)&gt;($H15-1),0,IF($G15=M$24,1,IF(SUM($J15:L15)=0,0,1))))*M$26</f>
        <v>#N/A</v>
      </c>
      <c r="N15" s="8" t="e">
        <f ca="1">(IF(SUM($J15:M15)&gt;($H15-1),0,IF($G15=N$24,1,IF(SUM($J15:M15)=0,0,1))))*N$26</f>
        <v>#N/A</v>
      </c>
      <c r="O15" s="8" t="e">
        <f ca="1">(IF(SUM($J15:N15)&gt;($H15-1),0,IF($G15=O$24,1,IF(SUM($J15:N15)=0,0,1))))*O$26</f>
        <v>#N/A</v>
      </c>
      <c r="P15" s="8" t="e">
        <f ca="1">(IF(SUM($J15:O15)&gt;($H15-1),0,IF($G15=P$24,1,IF(SUM($J15:O15)=0,0,1))))*P$26</f>
        <v>#N/A</v>
      </c>
      <c r="Q15" s="8" t="e">
        <f ca="1">(IF(SUM($J15:P15)&gt;($H15-1),0,IF($G15=Q$24,1,IF(SUM($J15:P15)=0,0,1))))*Q$26</f>
        <v>#N/A</v>
      </c>
      <c r="R15" s="8" t="e">
        <f ca="1">(IF(SUM($J15:Q15)&gt;($H15-1),0,IF($G15=R$24,1,IF(SUM($J15:Q15)=0,0,1))))*R$26</f>
        <v>#N/A</v>
      </c>
      <c r="S15" s="8" t="e">
        <f ca="1">(IF(SUM($J15:R15)&gt;($H15-1),0,IF($G15=S$24,1,IF(SUM($J15:R15)=0,0,1))))*S$26</f>
        <v>#N/A</v>
      </c>
      <c r="T15" s="8" t="e">
        <f ca="1">(IF(SUM($J15:S15)&gt;($H15-1),0,IF($G15=T$24,1,IF(SUM($J15:S15)=0,0,1))))*T$26</f>
        <v>#N/A</v>
      </c>
      <c r="U15" s="8" t="e">
        <f ca="1">(IF(SUM($J15:T15)&gt;($H15-1),0,IF($G15=U$24,1,IF(SUM($J15:T15)=0,0,1))))*U$26</f>
        <v>#N/A</v>
      </c>
      <c r="V15" s="8" t="e">
        <f ca="1">(IF(SUM($J15:U15)&gt;($H15-1),0,IF($G15=V$24,1,IF(SUM($J15:U15)=0,0,1))))*V$26</f>
        <v>#N/A</v>
      </c>
      <c r="W15" s="8" t="e">
        <f ca="1">(IF(SUM($J15:V15)&gt;($H15-1),0,IF($G15=W$24,1,IF(SUM($J15:V15)=0,0,1))))*W$26</f>
        <v>#N/A</v>
      </c>
      <c r="X15" s="8" t="e">
        <f ca="1">(IF(SUM($J15:W15)&gt;($H15-1),0,IF($G15=X$24,1,IF(SUM($J15:W15)=0,0,1))))*X$26</f>
        <v>#N/A</v>
      </c>
      <c r="Y15" s="8" t="e">
        <f ca="1">(IF(SUM($J15:X15)&gt;($H15-1),0,IF($G15=Y$24,1,IF(SUM($J15:X15)=0,0,1))))*Y$26</f>
        <v>#N/A</v>
      </c>
      <c r="Z15" s="8" t="e">
        <f ca="1">(IF(SUM($J15:Y15)&gt;($H15-1),0,IF($G15=Z$24,1,IF(SUM($J15:Y15)=0,0,1))))*Z$26</f>
        <v>#N/A</v>
      </c>
      <c r="AA15" s="8" t="e">
        <f ca="1">(IF(SUM($J15:Z15)&gt;($H15-1),0,IF($G15=AA$24,1,IF(SUM($J15:Z15)=0,0,1))))*AA$26</f>
        <v>#N/A</v>
      </c>
      <c r="AB15" s="8" t="e">
        <f ca="1">(IF(SUM($J15:AA15)&gt;($H15-1),0,IF($G15=AB$24,1,IF(SUM($J15:AA15)=0,0,1))))*AB$26</f>
        <v>#N/A</v>
      </c>
      <c r="AC15" s="8" t="e">
        <f ca="1">(IF(SUM($J15:AB15)&gt;($H15-1),0,IF($G15=AC$24,1,IF(SUM($J15:AB15)=0,0,1))))*AC$26</f>
        <v>#N/A</v>
      </c>
      <c r="AD15" s="8" t="e">
        <f ca="1">(IF(SUM($J15:AC15)&gt;($H15-1),0,IF($G15=AD$24,1,IF(SUM($J15:AC15)=0,0,1))))*AD$26</f>
        <v>#N/A</v>
      </c>
      <c r="AE15" s="8" t="e">
        <f ca="1">(IF(SUM($J15:AD15)&gt;($H15-1),0,IF($G15=AE$24,1,IF(SUM($J15:AD15)=0,0,1))))*AE$26</f>
        <v>#N/A</v>
      </c>
      <c r="AF15" s="8" t="e">
        <f ca="1">(IF(SUM($J15:AE15)&gt;($H15-1),0,IF($G15=AF$24,1,IF(SUM($J15:AE15)=0,0,1))))*AF$26</f>
        <v>#N/A</v>
      </c>
      <c r="AG15" s="8" t="e">
        <f ca="1">(IF(SUM($J15:AF15)&gt;($H15-1),0,IF($G15=AG$24,1,IF(SUM($J15:AF15)=0,0,1))))*AG$26</f>
        <v>#N/A</v>
      </c>
      <c r="AH15" s="8" t="e">
        <f ca="1">(IF(SUM($J15:AG15)&gt;($H15-1),0,IF($G15=AH$24,1,IF(SUM($J15:AG15)=0,0,1))))*AH$26</f>
        <v>#N/A</v>
      </c>
      <c r="AI15" s="8" t="e">
        <f ca="1">(IF(SUM($J15:AH15)&gt;($H15-1),0,IF($G15=AI$24,1,IF(SUM($J15:AH15)=0,0,1))))*AI$26</f>
        <v>#N/A</v>
      </c>
      <c r="AJ15" s="8" t="e">
        <f ca="1">(IF(SUM($J15:AI15)&gt;($H15-1),0,IF($G15=AJ$24,1,IF(SUM($J15:AI15)=0,0,1))))*AJ$26</f>
        <v>#N/A</v>
      </c>
      <c r="AK15" s="8" t="e">
        <f ca="1">(IF(SUM($J15:AJ15)&gt;($H15-1),0,IF($G15=AK$24,1,IF(SUM($J15:AJ15)=0,0,1))))*AK$26</f>
        <v>#N/A</v>
      </c>
      <c r="AL15" s="8" t="e">
        <f ca="1">(IF(SUM($J15:AK15)&gt;($H15-1),0,IF($G15=AL$24,1,IF(SUM($J15:AK15)=0,0,1))))*AL$26</f>
        <v>#N/A</v>
      </c>
      <c r="AM15" s="8" t="e">
        <f ca="1">(IF(SUM($J15:AL15)&gt;($H15-1),0,IF($G15=AM$24,1,IF(SUM($J15:AL15)=0,0,1))))*AM$26</f>
        <v>#N/A</v>
      </c>
      <c r="AN15" s="8" t="e">
        <f ca="1">(IF(SUM($J15:AM15)&gt;($H15-1),0,IF($G15=AN$24,1,IF(SUM($J15:AM15)=0,0,1))))*AN$26</f>
        <v>#N/A</v>
      </c>
      <c r="AO15" s="8" t="e">
        <f ca="1">(IF(SUM($J15:AN15)&gt;($H15-1),0,IF($G15=AO$24,1,IF(SUM($J15:AN15)=0,0,1))))*AO$26</f>
        <v>#N/A</v>
      </c>
      <c r="AP15" s="8" t="e">
        <f ca="1">(IF(SUM($J15:AO15)&gt;($H15-1),0,IF($G15=AP$24,1,IF(SUM($J15:AO15)=0,0,1))))*AP$26</f>
        <v>#N/A</v>
      </c>
      <c r="AQ15" s="8" t="e">
        <f ca="1">(IF(SUM($J15:AP15)&gt;($H15-1),0,IF($G15=AQ$24,1,IF(SUM($J15:AP15)=0,0,1))))*AQ$26</f>
        <v>#N/A</v>
      </c>
      <c r="AR15" s="8" t="e">
        <f ca="1">(IF(SUM($J15:AQ15)&gt;($H15-1),0,IF($G15=AR$24,1,IF(SUM($J15:AQ15)=0,0,1))))*AR$26</f>
        <v>#N/A</v>
      </c>
      <c r="AS15" s="8" t="e">
        <f ca="1">(IF(SUM($J15:AR15)&gt;($H15-1),0,IF($G15=AS$24,1,IF(SUM($J15:AR15)=0,0,1))))*AS$26</f>
        <v>#N/A</v>
      </c>
      <c r="AT15" s="8" t="e">
        <f ca="1">(IF(SUM($J15:AS15)&gt;($H15-1),0,IF($G15=AT$24,1,IF(SUM($J15:AS15)=0,0,1))))*AT$26</f>
        <v>#N/A</v>
      </c>
      <c r="AU15" s="8" t="e">
        <f ca="1">(IF(SUM($J15:AT15)&gt;($H15-1),0,IF($G15=AU$24,1,IF(SUM($J15:AT15)=0,0,1))))*AU$26</f>
        <v>#N/A</v>
      </c>
      <c r="AV15" s="8" t="e">
        <f ca="1">(IF(SUM($J15:AU15)&gt;($H15-1),0,IF($G15=AV$24,1,IF(SUM($J15:AU15)=0,0,1))))*AV$26</f>
        <v>#N/A</v>
      </c>
      <c r="AW15" s="8" t="e">
        <f ca="1">(IF(SUM($J15:AV15)&gt;($H15-1),0,IF($G15=AW$24,1,IF(SUM($J15:AV15)=0,0,1))))*AW$26</f>
        <v>#N/A</v>
      </c>
      <c r="AX15" s="8" t="e">
        <f ca="1">(IF(SUM($J15:AW15)&gt;($H15-1),0,IF($G15=AX$24,1,IF(SUM($J15:AW15)=0,0,1))))*AX$26</f>
        <v>#N/A</v>
      </c>
      <c r="AY15" s="8" t="e">
        <f ca="1">(IF(SUM($J15:AX15)&gt;($H15-1),0,IF($G15=AY$24,1,IF(SUM($J15:AX15)=0,0,1))))*AY$26</f>
        <v>#N/A</v>
      </c>
      <c r="AZ15" s="8" t="e">
        <f ca="1">(IF(SUM($J15:AY15)&gt;($H15-1),0,IF($G15=AZ$24,1,IF(SUM($J15:AY15)=0,0,1))))*AZ$26</f>
        <v>#N/A</v>
      </c>
      <c r="BA15" s="8" t="e">
        <f ca="1">(IF(SUM($J15:AZ15)&gt;($H15-1),0,IF($G15=BA$24,1,IF(SUM($J15:AZ15)=0,0,1))))*BA$26</f>
        <v>#N/A</v>
      </c>
      <c r="BB15" s="8" t="e">
        <f ca="1">(IF(SUM($J15:BA15)&gt;($H15-1),0,IF($G15=BB$24,1,IF(SUM($J15:BA15)=0,0,1))))*BB$26</f>
        <v>#N/A</v>
      </c>
      <c r="BC15" s="8" t="e">
        <f ca="1">(IF(SUM($J15:BB15)&gt;($H15-1),0,IF($G15=BC$24,1,IF(SUM($J15:BB15)=0,0,1))))*BC$26</f>
        <v>#N/A</v>
      </c>
      <c r="BD15" s="8" t="e">
        <f ca="1">(IF(SUM($J15:BC15)&gt;($H15-1),0,IF($G15=BD$24,1,IF(SUM($J15:BC15)=0,0,1))))*BD$26</f>
        <v>#N/A</v>
      </c>
      <c r="BE15" s="8" t="e">
        <f ca="1">(IF(SUM($J15:BD15)&gt;($H15-1),0,IF($G15=BE$24,1,IF(SUM($J15:BD15)=0,0,1))))*BE$26</f>
        <v>#N/A</v>
      </c>
      <c r="BF15" s="119" t="str">
        <f>IF('1.G.Data'!C$14="","Alert: Fill Duration (months) on sheet 1. G.DATA",IF(G15="","",IF(H15&gt;BG15,$BJ$4,CONCATENATE($BI$10,BG15,$BI$11))))</f>
        <v/>
      </c>
      <c r="BG15" s="566">
        <f>IF(G15="",0,'1.G.Data'!C$14+1-'3.Tasks'!G15)</f>
        <v>0</v>
      </c>
      <c r="BK15" s="122" t="str">
        <f t="shared" si="4"/>
        <v>N/A</v>
      </c>
      <c r="BL15" s="120" t="e">
        <f t="shared" ca="1" si="5"/>
        <v>#N/A</v>
      </c>
      <c r="BM15" s="120" t="e">
        <f t="shared" ca="1" si="6"/>
        <v>#N/A</v>
      </c>
      <c r="BN15" s="120" t="e">
        <f t="shared" ca="1" si="7"/>
        <v>#N/A</v>
      </c>
      <c r="BO15" s="120" t="e">
        <f t="shared" ca="1" si="8"/>
        <v>#N/A</v>
      </c>
    </row>
    <row r="16" spans="1:82">
      <c r="A16" t="s">
        <v>30</v>
      </c>
      <c r="B16" s="3" t="s">
        <v>830</v>
      </c>
      <c r="C16" s="106"/>
      <c r="D16" s="106"/>
      <c r="E16" s="106"/>
      <c r="F16" s="106"/>
      <c r="G16" s="108"/>
      <c r="H16" s="108"/>
      <c r="I16" s="10">
        <f t="shared" si="1"/>
        <v>0</v>
      </c>
      <c r="J16" s="8">
        <f t="shared" ca="1" si="2"/>
        <v>0</v>
      </c>
      <c r="K16" s="8">
        <f t="shared" ca="1" si="3"/>
        <v>0</v>
      </c>
      <c r="L16" s="8" t="e">
        <f ca="1">(IF(SUM($J16:K16)&gt;($H16-1),0,IF($G16=L$24,1,IF(SUM($J16:K16)=0,0,1))))*L$26</f>
        <v>#N/A</v>
      </c>
      <c r="M16" s="8" t="e">
        <f ca="1">(IF(SUM($J16:L16)&gt;($H16-1),0,IF($G16=M$24,1,IF(SUM($J16:L16)=0,0,1))))*M$26</f>
        <v>#N/A</v>
      </c>
      <c r="N16" s="8" t="e">
        <f ca="1">(IF(SUM($J16:M16)&gt;($H16-1),0,IF($G16=N$24,1,IF(SUM($J16:M16)=0,0,1))))*N$26</f>
        <v>#N/A</v>
      </c>
      <c r="O16" s="8" t="e">
        <f ca="1">(IF(SUM($J16:N16)&gt;($H16-1),0,IF($G16=O$24,1,IF(SUM($J16:N16)=0,0,1))))*O$26</f>
        <v>#N/A</v>
      </c>
      <c r="P16" s="8" t="e">
        <f ca="1">(IF(SUM($J16:O16)&gt;($H16-1),0,IF($G16=P$24,1,IF(SUM($J16:O16)=0,0,1))))*P$26</f>
        <v>#N/A</v>
      </c>
      <c r="Q16" s="8" t="e">
        <f ca="1">(IF(SUM($J16:P16)&gt;($H16-1),0,IF($G16=Q$24,1,IF(SUM($J16:P16)=0,0,1))))*Q$26</f>
        <v>#N/A</v>
      </c>
      <c r="R16" s="8" t="e">
        <f ca="1">(IF(SUM($J16:Q16)&gt;($H16-1),0,IF($G16=R$24,1,IF(SUM($J16:Q16)=0,0,1))))*R$26</f>
        <v>#N/A</v>
      </c>
      <c r="S16" s="8" t="e">
        <f ca="1">(IF(SUM($J16:R16)&gt;($H16-1),0,IF($G16=S$24,1,IF(SUM($J16:R16)=0,0,1))))*S$26</f>
        <v>#N/A</v>
      </c>
      <c r="T16" s="8" t="e">
        <f ca="1">(IF(SUM($J16:S16)&gt;($H16-1),0,IF($G16=T$24,1,IF(SUM($J16:S16)=0,0,1))))*T$26</f>
        <v>#N/A</v>
      </c>
      <c r="U16" s="8" t="e">
        <f ca="1">(IF(SUM($J16:T16)&gt;($H16-1),0,IF($G16=U$24,1,IF(SUM($J16:T16)=0,0,1))))*U$26</f>
        <v>#N/A</v>
      </c>
      <c r="V16" s="8" t="e">
        <f ca="1">(IF(SUM($J16:U16)&gt;($H16-1),0,IF($G16=V$24,1,IF(SUM($J16:U16)=0,0,1))))*V$26</f>
        <v>#N/A</v>
      </c>
      <c r="W16" s="8" t="e">
        <f ca="1">(IF(SUM($J16:V16)&gt;($H16-1),0,IF($G16=W$24,1,IF(SUM($J16:V16)=0,0,1))))*W$26</f>
        <v>#N/A</v>
      </c>
      <c r="X16" s="8" t="e">
        <f ca="1">(IF(SUM($J16:W16)&gt;($H16-1),0,IF($G16=X$24,1,IF(SUM($J16:W16)=0,0,1))))*X$26</f>
        <v>#N/A</v>
      </c>
      <c r="Y16" s="8" t="e">
        <f ca="1">(IF(SUM($J16:X16)&gt;($H16-1),0,IF($G16=Y$24,1,IF(SUM($J16:X16)=0,0,1))))*Y$26</f>
        <v>#N/A</v>
      </c>
      <c r="Z16" s="8" t="e">
        <f ca="1">(IF(SUM($J16:Y16)&gt;($H16-1),0,IF($G16=Z$24,1,IF(SUM($J16:Y16)=0,0,1))))*Z$26</f>
        <v>#N/A</v>
      </c>
      <c r="AA16" s="8" t="e">
        <f ca="1">(IF(SUM($J16:Z16)&gt;($H16-1),0,IF($G16=AA$24,1,IF(SUM($J16:Z16)=0,0,1))))*AA$26</f>
        <v>#N/A</v>
      </c>
      <c r="AB16" s="8" t="e">
        <f ca="1">(IF(SUM($J16:AA16)&gt;($H16-1),0,IF($G16=AB$24,1,IF(SUM($J16:AA16)=0,0,1))))*AB$26</f>
        <v>#N/A</v>
      </c>
      <c r="AC16" s="8" t="e">
        <f ca="1">(IF(SUM($J16:AB16)&gt;($H16-1),0,IF($G16=AC$24,1,IF(SUM($J16:AB16)=0,0,1))))*AC$26</f>
        <v>#N/A</v>
      </c>
      <c r="AD16" s="8" t="e">
        <f ca="1">(IF(SUM($J16:AC16)&gt;($H16-1),0,IF($G16=AD$24,1,IF(SUM($J16:AC16)=0,0,1))))*AD$26</f>
        <v>#N/A</v>
      </c>
      <c r="AE16" s="8" t="e">
        <f ca="1">(IF(SUM($J16:AD16)&gt;($H16-1),0,IF($G16=AE$24,1,IF(SUM($J16:AD16)=0,0,1))))*AE$26</f>
        <v>#N/A</v>
      </c>
      <c r="AF16" s="8" t="e">
        <f ca="1">(IF(SUM($J16:AE16)&gt;($H16-1),0,IF($G16=AF$24,1,IF(SUM($J16:AE16)=0,0,1))))*AF$26</f>
        <v>#N/A</v>
      </c>
      <c r="AG16" s="8" t="e">
        <f ca="1">(IF(SUM($J16:AF16)&gt;($H16-1),0,IF($G16=AG$24,1,IF(SUM($J16:AF16)=0,0,1))))*AG$26</f>
        <v>#N/A</v>
      </c>
      <c r="AH16" s="8" t="e">
        <f ca="1">(IF(SUM($J16:AG16)&gt;($H16-1),0,IF($G16=AH$24,1,IF(SUM($J16:AG16)=0,0,1))))*AH$26</f>
        <v>#N/A</v>
      </c>
      <c r="AI16" s="8" t="e">
        <f ca="1">(IF(SUM($J16:AH16)&gt;($H16-1),0,IF($G16=AI$24,1,IF(SUM($J16:AH16)=0,0,1))))*AI$26</f>
        <v>#N/A</v>
      </c>
      <c r="AJ16" s="8" t="e">
        <f ca="1">(IF(SUM($J16:AI16)&gt;($H16-1),0,IF($G16=AJ$24,1,IF(SUM($J16:AI16)=0,0,1))))*AJ$26</f>
        <v>#N/A</v>
      </c>
      <c r="AK16" s="8" t="e">
        <f ca="1">(IF(SUM($J16:AJ16)&gt;($H16-1),0,IF($G16=AK$24,1,IF(SUM($J16:AJ16)=0,0,1))))*AK$26</f>
        <v>#N/A</v>
      </c>
      <c r="AL16" s="8" t="e">
        <f ca="1">(IF(SUM($J16:AK16)&gt;($H16-1),0,IF($G16=AL$24,1,IF(SUM($J16:AK16)=0,0,1))))*AL$26</f>
        <v>#N/A</v>
      </c>
      <c r="AM16" s="8" t="e">
        <f ca="1">(IF(SUM($J16:AL16)&gt;($H16-1),0,IF($G16=AM$24,1,IF(SUM($J16:AL16)=0,0,1))))*AM$26</f>
        <v>#N/A</v>
      </c>
      <c r="AN16" s="8" t="e">
        <f ca="1">(IF(SUM($J16:AM16)&gt;($H16-1),0,IF($G16=AN$24,1,IF(SUM($J16:AM16)=0,0,1))))*AN$26</f>
        <v>#N/A</v>
      </c>
      <c r="AO16" s="8" t="e">
        <f ca="1">(IF(SUM($J16:AN16)&gt;($H16-1),0,IF($G16=AO$24,1,IF(SUM($J16:AN16)=0,0,1))))*AO$26</f>
        <v>#N/A</v>
      </c>
      <c r="AP16" s="8" t="e">
        <f ca="1">(IF(SUM($J16:AO16)&gt;($H16-1),0,IF($G16=AP$24,1,IF(SUM($J16:AO16)=0,0,1))))*AP$26</f>
        <v>#N/A</v>
      </c>
      <c r="AQ16" s="8" t="e">
        <f ca="1">(IF(SUM($J16:AP16)&gt;($H16-1),0,IF($G16=AQ$24,1,IF(SUM($J16:AP16)=0,0,1))))*AQ$26</f>
        <v>#N/A</v>
      </c>
      <c r="AR16" s="8" t="e">
        <f ca="1">(IF(SUM($J16:AQ16)&gt;($H16-1),0,IF($G16=AR$24,1,IF(SUM($J16:AQ16)=0,0,1))))*AR$26</f>
        <v>#N/A</v>
      </c>
      <c r="AS16" s="8" t="e">
        <f ca="1">(IF(SUM($J16:AR16)&gt;($H16-1),0,IF($G16=AS$24,1,IF(SUM($J16:AR16)=0,0,1))))*AS$26</f>
        <v>#N/A</v>
      </c>
      <c r="AT16" s="8" t="e">
        <f ca="1">(IF(SUM($J16:AS16)&gt;($H16-1),0,IF($G16=AT$24,1,IF(SUM($J16:AS16)=0,0,1))))*AT$26</f>
        <v>#N/A</v>
      </c>
      <c r="AU16" s="8" t="e">
        <f ca="1">(IF(SUM($J16:AT16)&gt;($H16-1),0,IF($G16=AU$24,1,IF(SUM($J16:AT16)=0,0,1))))*AU$26</f>
        <v>#N/A</v>
      </c>
      <c r="AV16" s="8" t="e">
        <f ca="1">(IF(SUM($J16:AU16)&gt;($H16-1),0,IF($G16=AV$24,1,IF(SUM($J16:AU16)=0,0,1))))*AV$26</f>
        <v>#N/A</v>
      </c>
      <c r="AW16" s="8" t="e">
        <f ca="1">(IF(SUM($J16:AV16)&gt;($H16-1),0,IF($G16=AW$24,1,IF(SUM($J16:AV16)=0,0,1))))*AW$26</f>
        <v>#N/A</v>
      </c>
      <c r="AX16" s="8" t="e">
        <f ca="1">(IF(SUM($J16:AW16)&gt;($H16-1),0,IF($G16=AX$24,1,IF(SUM($J16:AW16)=0,0,1))))*AX$26</f>
        <v>#N/A</v>
      </c>
      <c r="AY16" s="8" t="e">
        <f ca="1">(IF(SUM($J16:AX16)&gt;($H16-1),0,IF($G16=AY$24,1,IF(SUM($J16:AX16)=0,0,1))))*AY$26</f>
        <v>#N/A</v>
      </c>
      <c r="AZ16" s="8" t="e">
        <f ca="1">(IF(SUM($J16:AY16)&gt;($H16-1),0,IF($G16=AZ$24,1,IF(SUM($J16:AY16)=0,0,1))))*AZ$26</f>
        <v>#N/A</v>
      </c>
      <c r="BA16" s="8" t="e">
        <f ca="1">(IF(SUM($J16:AZ16)&gt;($H16-1),0,IF($G16=BA$24,1,IF(SUM($J16:AZ16)=0,0,1))))*BA$26</f>
        <v>#N/A</v>
      </c>
      <c r="BB16" s="8" t="e">
        <f ca="1">(IF(SUM($J16:BA16)&gt;($H16-1),0,IF($G16=BB$24,1,IF(SUM($J16:BA16)=0,0,1))))*BB$26</f>
        <v>#N/A</v>
      </c>
      <c r="BC16" s="8" t="e">
        <f ca="1">(IF(SUM($J16:BB16)&gt;($H16-1),0,IF($G16=BC$24,1,IF(SUM($J16:BB16)=0,0,1))))*BC$26</f>
        <v>#N/A</v>
      </c>
      <c r="BD16" s="8" t="e">
        <f ca="1">(IF(SUM($J16:BC16)&gt;($H16-1),0,IF($G16=BD$24,1,IF(SUM($J16:BC16)=0,0,1))))*BD$26</f>
        <v>#N/A</v>
      </c>
      <c r="BE16" s="8" t="e">
        <f ca="1">(IF(SUM($J16:BD16)&gt;($H16-1),0,IF($G16=BE$24,1,IF(SUM($J16:BD16)=0,0,1))))*BE$26</f>
        <v>#N/A</v>
      </c>
      <c r="BF16" s="119" t="str">
        <f>IF('1.G.Data'!C$14="","Alert: Fill Duration (months) on sheet 1. G.DATA",IF(G16="","",IF(H16&gt;BG16,$BJ$4,CONCATENATE($BI$10,BG16,$BI$11))))</f>
        <v/>
      </c>
      <c r="BG16" s="566">
        <f>IF(G16="",0,'1.G.Data'!C$14+1-'3.Tasks'!G16)</f>
        <v>0</v>
      </c>
      <c r="BK16" s="122" t="str">
        <f t="shared" si="4"/>
        <v>N/A</v>
      </c>
      <c r="BL16" s="120" t="e">
        <f t="shared" ca="1" si="5"/>
        <v>#N/A</v>
      </c>
      <c r="BM16" s="120" t="e">
        <f t="shared" ca="1" si="6"/>
        <v>#N/A</v>
      </c>
      <c r="BN16" s="120" t="e">
        <f t="shared" ca="1" si="7"/>
        <v>#N/A</v>
      </c>
      <c r="BO16" s="120" t="e">
        <f t="shared" ca="1" si="8"/>
        <v>#N/A</v>
      </c>
    </row>
    <row r="17" spans="1:82">
      <c r="A17" t="s">
        <v>31</v>
      </c>
      <c r="B17" s="3" t="s">
        <v>831</v>
      </c>
      <c r="C17" s="106"/>
      <c r="D17" s="106"/>
      <c r="E17" s="106"/>
      <c r="F17" s="106"/>
      <c r="G17" s="108"/>
      <c r="H17" s="108"/>
      <c r="I17" s="10">
        <f t="shared" si="1"/>
        <v>0</v>
      </c>
      <c r="J17" s="8">
        <f t="shared" ca="1" si="2"/>
        <v>0</v>
      </c>
      <c r="K17" s="8">
        <f t="shared" ca="1" si="3"/>
        <v>0</v>
      </c>
      <c r="L17" s="8" t="e">
        <f ca="1">(IF(SUM($J17:K17)&gt;($H17-1),0,IF($G17=L$24,1,IF(SUM($J17:K17)=0,0,1))))*L$26</f>
        <v>#N/A</v>
      </c>
      <c r="M17" s="8" t="e">
        <f ca="1">(IF(SUM($J17:L17)&gt;($H17-1),0,IF($G17=M$24,1,IF(SUM($J17:L17)=0,0,1))))*M$26</f>
        <v>#N/A</v>
      </c>
      <c r="N17" s="8" t="e">
        <f ca="1">(IF(SUM($J17:M17)&gt;($H17-1),0,IF($G17=N$24,1,IF(SUM($J17:M17)=0,0,1))))*N$26</f>
        <v>#N/A</v>
      </c>
      <c r="O17" s="8" t="e">
        <f ca="1">(IF(SUM($J17:N17)&gt;($H17-1),0,IF($G17=O$24,1,IF(SUM($J17:N17)=0,0,1))))*O$26</f>
        <v>#N/A</v>
      </c>
      <c r="P17" s="8" t="e">
        <f ca="1">(IF(SUM($J17:O17)&gt;($H17-1),0,IF($G17=P$24,1,IF(SUM($J17:O17)=0,0,1))))*P$26</f>
        <v>#N/A</v>
      </c>
      <c r="Q17" s="8" t="e">
        <f ca="1">(IF(SUM($J17:P17)&gt;($H17-1),0,IF($G17=Q$24,1,IF(SUM($J17:P17)=0,0,1))))*Q$26</f>
        <v>#N/A</v>
      </c>
      <c r="R17" s="8" t="e">
        <f ca="1">(IF(SUM($J17:Q17)&gt;($H17-1),0,IF($G17=R$24,1,IF(SUM($J17:Q17)=0,0,1))))*R$26</f>
        <v>#N/A</v>
      </c>
      <c r="S17" s="8" t="e">
        <f ca="1">(IF(SUM($J17:R17)&gt;($H17-1),0,IF($G17=S$24,1,IF(SUM($J17:R17)=0,0,1))))*S$26</f>
        <v>#N/A</v>
      </c>
      <c r="T17" s="8" t="e">
        <f ca="1">(IF(SUM($J17:S17)&gt;($H17-1),0,IF($G17=T$24,1,IF(SUM($J17:S17)=0,0,1))))*T$26</f>
        <v>#N/A</v>
      </c>
      <c r="U17" s="8" t="e">
        <f ca="1">(IF(SUM($J17:T17)&gt;($H17-1),0,IF($G17=U$24,1,IF(SUM($J17:T17)=0,0,1))))*U$26</f>
        <v>#N/A</v>
      </c>
      <c r="V17" s="8" t="e">
        <f ca="1">(IF(SUM($J17:U17)&gt;($H17-1),0,IF($G17=V$24,1,IF(SUM($J17:U17)=0,0,1))))*V$26</f>
        <v>#N/A</v>
      </c>
      <c r="W17" s="8" t="e">
        <f ca="1">(IF(SUM($J17:V17)&gt;($H17-1),0,IF($G17=W$24,1,IF(SUM($J17:V17)=0,0,1))))*W$26</f>
        <v>#N/A</v>
      </c>
      <c r="X17" s="8" t="e">
        <f ca="1">(IF(SUM($J17:W17)&gt;($H17-1),0,IF($G17=X$24,1,IF(SUM($J17:W17)=0,0,1))))*X$26</f>
        <v>#N/A</v>
      </c>
      <c r="Y17" s="8" t="e">
        <f ca="1">(IF(SUM($J17:X17)&gt;($H17-1),0,IF($G17=Y$24,1,IF(SUM($J17:X17)=0,0,1))))*Y$26</f>
        <v>#N/A</v>
      </c>
      <c r="Z17" s="8" t="e">
        <f ca="1">(IF(SUM($J17:Y17)&gt;($H17-1),0,IF($G17=Z$24,1,IF(SUM($J17:Y17)=0,0,1))))*Z$26</f>
        <v>#N/A</v>
      </c>
      <c r="AA17" s="8" t="e">
        <f ca="1">(IF(SUM($J17:Z17)&gt;($H17-1),0,IF($G17=AA$24,1,IF(SUM($J17:Z17)=0,0,1))))*AA$26</f>
        <v>#N/A</v>
      </c>
      <c r="AB17" s="8" t="e">
        <f ca="1">(IF(SUM($J17:AA17)&gt;($H17-1),0,IF($G17=AB$24,1,IF(SUM($J17:AA17)=0,0,1))))*AB$26</f>
        <v>#N/A</v>
      </c>
      <c r="AC17" s="8" t="e">
        <f ca="1">(IF(SUM($J17:AB17)&gt;($H17-1),0,IF($G17=AC$24,1,IF(SUM($J17:AB17)=0,0,1))))*AC$26</f>
        <v>#N/A</v>
      </c>
      <c r="AD17" s="8" t="e">
        <f ca="1">(IF(SUM($J17:AC17)&gt;($H17-1),0,IF($G17=AD$24,1,IF(SUM($J17:AC17)=0,0,1))))*AD$26</f>
        <v>#N/A</v>
      </c>
      <c r="AE17" s="8" t="e">
        <f ca="1">(IF(SUM($J17:AD17)&gt;($H17-1),0,IF($G17=AE$24,1,IF(SUM($J17:AD17)=0,0,1))))*AE$26</f>
        <v>#N/A</v>
      </c>
      <c r="AF17" s="8" t="e">
        <f ca="1">(IF(SUM($J17:AE17)&gt;($H17-1),0,IF($G17=AF$24,1,IF(SUM($J17:AE17)=0,0,1))))*AF$26</f>
        <v>#N/A</v>
      </c>
      <c r="AG17" s="8" t="e">
        <f ca="1">(IF(SUM($J17:AF17)&gt;($H17-1),0,IF($G17=AG$24,1,IF(SUM($J17:AF17)=0,0,1))))*AG$26</f>
        <v>#N/A</v>
      </c>
      <c r="AH17" s="8" t="e">
        <f ca="1">(IF(SUM($J17:AG17)&gt;($H17-1),0,IF($G17=AH$24,1,IF(SUM($J17:AG17)=0,0,1))))*AH$26</f>
        <v>#N/A</v>
      </c>
      <c r="AI17" s="8" t="e">
        <f ca="1">(IF(SUM($J17:AH17)&gt;($H17-1),0,IF($G17=AI$24,1,IF(SUM($J17:AH17)=0,0,1))))*AI$26</f>
        <v>#N/A</v>
      </c>
      <c r="AJ17" s="8" t="e">
        <f ca="1">(IF(SUM($J17:AI17)&gt;($H17-1),0,IF($G17=AJ$24,1,IF(SUM($J17:AI17)=0,0,1))))*AJ$26</f>
        <v>#N/A</v>
      </c>
      <c r="AK17" s="8" t="e">
        <f ca="1">(IF(SUM($J17:AJ17)&gt;($H17-1),0,IF($G17=AK$24,1,IF(SUM($J17:AJ17)=0,0,1))))*AK$26</f>
        <v>#N/A</v>
      </c>
      <c r="AL17" s="8" t="e">
        <f ca="1">(IF(SUM($J17:AK17)&gt;($H17-1),0,IF($G17=AL$24,1,IF(SUM($J17:AK17)=0,0,1))))*AL$26</f>
        <v>#N/A</v>
      </c>
      <c r="AM17" s="8" t="e">
        <f ca="1">(IF(SUM($J17:AL17)&gt;($H17-1),0,IF($G17=AM$24,1,IF(SUM($J17:AL17)=0,0,1))))*AM$26</f>
        <v>#N/A</v>
      </c>
      <c r="AN17" s="8" t="e">
        <f ca="1">(IF(SUM($J17:AM17)&gt;($H17-1),0,IF($G17=AN$24,1,IF(SUM($J17:AM17)=0,0,1))))*AN$26</f>
        <v>#N/A</v>
      </c>
      <c r="AO17" s="8" t="e">
        <f ca="1">(IF(SUM($J17:AN17)&gt;($H17-1),0,IF($G17=AO$24,1,IF(SUM($J17:AN17)=0,0,1))))*AO$26</f>
        <v>#N/A</v>
      </c>
      <c r="AP17" s="8" t="e">
        <f ca="1">(IF(SUM($J17:AO17)&gt;($H17-1),0,IF($G17=AP$24,1,IF(SUM($J17:AO17)=0,0,1))))*AP$26</f>
        <v>#N/A</v>
      </c>
      <c r="AQ17" s="8" t="e">
        <f ca="1">(IF(SUM($J17:AP17)&gt;($H17-1),0,IF($G17=AQ$24,1,IF(SUM($J17:AP17)=0,0,1))))*AQ$26</f>
        <v>#N/A</v>
      </c>
      <c r="AR17" s="8" t="e">
        <f ca="1">(IF(SUM($J17:AQ17)&gt;($H17-1),0,IF($G17=AR$24,1,IF(SUM($J17:AQ17)=0,0,1))))*AR$26</f>
        <v>#N/A</v>
      </c>
      <c r="AS17" s="8" t="e">
        <f ca="1">(IF(SUM($J17:AR17)&gt;($H17-1),0,IF($G17=AS$24,1,IF(SUM($J17:AR17)=0,0,1))))*AS$26</f>
        <v>#N/A</v>
      </c>
      <c r="AT17" s="8" t="e">
        <f ca="1">(IF(SUM($J17:AS17)&gt;($H17-1),0,IF($G17=AT$24,1,IF(SUM($J17:AS17)=0,0,1))))*AT$26</f>
        <v>#N/A</v>
      </c>
      <c r="AU17" s="8" t="e">
        <f ca="1">(IF(SUM($J17:AT17)&gt;($H17-1),0,IF($G17=AU$24,1,IF(SUM($J17:AT17)=0,0,1))))*AU$26</f>
        <v>#N/A</v>
      </c>
      <c r="AV17" s="8" t="e">
        <f ca="1">(IF(SUM($J17:AU17)&gt;($H17-1),0,IF($G17=AV$24,1,IF(SUM($J17:AU17)=0,0,1))))*AV$26</f>
        <v>#N/A</v>
      </c>
      <c r="AW17" s="8" t="e">
        <f ca="1">(IF(SUM($J17:AV17)&gt;($H17-1),0,IF($G17=AW$24,1,IF(SUM($J17:AV17)=0,0,1))))*AW$26</f>
        <v>#N/A</v>
      </c>
      <c r="AX17" s="8" t="e">
        <f ca="1">(IF(SUM($J17:AW17)&gt;($H17-1),0,IF($G17=AX$24,1,IF(SUM($J17:AW17)=0,0,1))))*AX$26</f>
        <v>#N/A</v>
      </c>
      <c r="AY17" s="8" t="e">
        <f ca="1">(IF(SUM($J17:AX17)&gt;($H17-1),0,IF($G17=AY$24,1,IF(SUM($J17:AX17)=0,0,1))))*AY$26</f>
        <v>#N/A</v>
      </c>
      <c r="AZ17" s="8" t="e">
        <f ca="1">(IF(SUM($J17:AY17)&gt;($H17-1),0,IF($G17=AZ$24,1,IF(SUM($J17:AY17)=0,0,1))))*AZ$26</f>
        <v>#N/A</v>
      </c>
      <c r="BA17" s="8" t="e">
        <f ca="1">(IF(SUM($J17:AZ17)&gt;($H17-1),0,IF($G17=BA$24,1,IF(SUM($J17:AZ17)=0,0,1))))*BA$26</f>
        <v>#N/A</v>
      </c>
      <c r="BB17" s="8" t="e">
        <f ca="1">(IF(SUM($J17:BA17)&gt;($H17-1),0,IF($G17=BB$24,1,IF(SUM($J17:BA17)=0,0,1))))*BB$26</f>
        <v>#N/A</v>
      </c>
      <c r="BC17" s="8" t="e">
        <f ca="1">(IF(SUM($J17:BB17)&gt;($H17-1),0,IF($G17=BC$24,1,IF(SUM($J17:BB17)=0,0,1))))*BC$26</f>
        <v>#N/A</v>
      </c>
      <c r="BD17" s="8" t="e">
        <f ca="1">(IF(SUM($J17:BC17)&gt;($H17-1),0,IF($G17=BD$24,1,IF(SUM($J17:BC17)=0,0,1))))*BD$26</f>
        <v>#N/A</v>
      </c>
      <c r="BE17" s="8" t="e">
        <f ca="1">(IF(SUM($J17:BD17)&gt;($H17-1),0,IF($G17=BE$24,1,IF(SUM($J17:BD17)=0,0,1))))*BE$26</f>
        <v>#N/A</v>
      </c>
      <c r="BF17" s="119" t="str">
        <f>IF('1.G.Data'!C$14="","Alert: Fill Duration (months) on sheet 1. G.DATA",IF(G17="","",IF(H17&gt;BG17,$BJ$4,CONCATENATE($BI$10,BG17,$BI$11))))</f>
        <v/>
      </c>
      <c r="BG17" s="566">
        <f>IF(G17="",0,'1.G.Data'!C$14+1-'3.Tasks'!G17)</f>
        <v>0</v>
      </c>
      <c r="BK17" s="122" t="str">
        <f t="shared" si="4"/>
        <v>N/A</v>
      </c>
      <c r="BL17" s="120" t="e">
        <f t="shared" ca="1" si="5"/>
        <v>#N/A</v>
      </c>
      <c r="BM17" s="120" t="e">
        <f t="shared" ca="1" si="6"/>
        <v>#N/A</v>
      </c>
      <c r="BN17" s="120" t="e">
        <f t="shared" ca="1" si="7"/>
        <v>#N/A</v>
      </c>
      <c r="BO17" s="120" t="e">
        <f t="shared" ca="1" si="8"/>
        <v>#N/A</v>
      </c>
    </row>
    <row r="18" spans="1:82">
      <c r="A18" t="s">
        <v>32</v>
      </c>
      <c r="B18" s="3" t="s">
        <v>832</v>
      </c>
      <c r="C18" s="106"/>
      <c r="D18" s="106"/>
      <c r="E18" s="106"/>
      <c r="F18" s="106"/>
      <c r="G18" s="108"/>
      <c r="H18" s="108"/>
      <c r="I18" s="10">
        <f t="shared" si="1"/>
        <v>0</v>
      </c>
      <c r="J18" s="8">
        <f t="shared" ca="1" si="2"/>
        <v>0</v>
      </c>
      <c r="K18" s="8">
        <f t="shared" ca="1" si="3"/>
        <v>0</v>
      </c>
      <c r="L18" s="8" t="e">
        <f ca="1">(IF(SUM($J18:K18)&gt;($H18-1),0,IF($G18=L$24,1,IF(SUM($J18:K18)=0,0,1))))*L$26</f>
        <v>#N/A</v>
      </c>
      <c r="M18" s="8" t="e">
        <f ca="1">(IF(SUM($J18:L18)&gt;($H18-1),0,IF($G18=M$24,1,IF(SUM($J18:L18)=0,0,1))))*M$26</f>
        <v>#N/A</v>
      </c>
      <c r="N18" s="8" t="e">
        <f ca="1">(IF(SUM($J18:M18)&gt;($H18-1),0,IF($G18=N$24,1,IF(SUM($J18:M18)=0,0,1))))*N$26</f>
        <v>#N/A</v>
      </c>
      <c r="O18" s="8" t="e">
        <f ca="1">(IF(SUM($J18:N18)&gt;($H18-1),0,IF($G18=O$24,1,IF(SUM($J18:N18)=0,0,1))))*O$26</f>
        <v>#N/A</v>
      </c>
      <c r="P18" s="8" t="e">
        <f ca="1">(IF(SUM($J18:O18)&gt;($H18-1),0,IF($G18=P$24,1,IF(SUM($J18:O18)=0,0,1))))*P$26</f>
        <v>#N/A</v>
      </c>
      <c r="Q18" s="8" t="e">
        <f ca="1">(IF(SUM($J18:P18)&gt;($H18-1),0,IF($G18=Q$24,1,IF(SUM($J18:P18)=0,0,1))))*Q$26</f>
        <v>#N/A</v>
      </c>
      <c r="R18" s="8" t="e">
        <f ca="1">(IF(SUM($J18:Q18)&gt;($H18-1),0,IF($G18=R$24,1,IF(SUM($J18:Q18)=0,0,1))))*R$26</f>
        <v>#N/A</v>
      </c>
      <c r="S18" s="8" t="e">
        <f ca="1">(IF(SUM($J18:R18)&gt;($H18-1),0,IF($G18=S$24,1,IF(SUM($J18:R18)=0,0,1))))*S$26</f>
        <v>#N/A</v>
      </c>
      <c r="T18" s="8" t="e">
        <f ca="1">(IF(SUM($J18:S18)&gt;($H18-1),0,IF($G18=T$24,1,IF(SUM($J18:S18)=0,0,1))))*T$26</f>
        <v>#N/A</v>
      </c>
      <c r="U18" s="8" t="e">
        <f ca="1">(IF(SUM($J18:T18)&gt;($H18-1),0,IF($G18=U$24,1,IF(SUM($J18:T18)=0,0,1))))*U$26</f>
        <v>#N/A</v>
      </c>
      <c r="V18" s="8" t="e">
        <f ca="1">(IF(SUM($J18:U18)&gt;($H18-1),0,IF($G18=V$24,1,IF(SUM($J18:U18)=0,0,1))))*V$26</f>
        <v>#N/A</v>
      </c>
      <c r="W18" s="8" t="e">
        <f ca="1">(IF(SUM($J18:V18)&gt;($H18-1),0,IF($G18=W$24,1,IF(SUM($J18:V18)=0,0,1))))*W$26</f>
        <v>#N/A</v>
      </c>
      <c r="X18" s="8" t="e">
        <f ca="1">(IF(SUM($J18:W18)&gt;($H18-1),0,IF($G18=X$24,1,IF(SUM($J18:W18)=0,0,1))))*X$26</f>
        <v>#N/A</v>
      </c>
      <c r="Y18" s="8" t="e">
        <f ca="1">(IF(SUM($J18:X18)&gt;($H18-1),0,IF($G18=Y$24,1,IF(SUM($J18:X18)=0,0,1))))*Y$26</f>
        <v>#N/A</v>
      </c>
      <c r="Z18" s="8" t="e">
        <f ca="1">(IF(SUM($J18:Y18)&gt;($H18-1),0,IF($G18=Z$24,1,IF(SUM($J18:Y18)=0,0,1))))*Z$26</f>
        <v>#N/A</v>
      </c>
      <c r="AA18" s="8" t="e">
        <f ca="1">(IF(SUM($J18:Z18)&gt;($H18-1),0,IF($G18=AA$24,1,IF(SUM($J18:Z18)=0,0,1))))*AA$26</f>
        <v>#N/A</v>
      </c>
      <c r="AB18" s="8" t="e">
        <f ca="1">(IF(SUM($J18:AA18)&gt;($H18-1),0,IF($G18=AB$24,1,IF(SUM($J18:AA18)=0,0,1))))*AB$26</f>
        <v>#N/A</v>
      </c>
      <c r="AC18" s="8" t="e">
        <f ca="1">(IF(SUM($J18:AB18)&gt;($H18-1),0,IF($G18=AC$24,1,IF(SUM($J18:AB18)=0,0,1))))*AC$26</f>
        <v>#N/A</v>
      </c>
      <c r="AD18" s="8" t="e">
        <f ca="1">(IF(SUM($J18:AC18)&gt;($H18-1),0,IF($G18=AD$24,1,IF(SUM($J18:AC18)=0,0,1))))*AD$26</f>
        <v>#N/A</v>
      </c>
      <c r="AE18" s="8" t="e">
        <f ca="1">(IF(SUM($J18:AD18)&gt;($H18-1),0,IF($G18=AE$24,1,IF(SUM($J18:AD18)=0,0,1))))*AE$26</f>
        <v>#N/A</v>
      </c>
      <c r="AF18" s="8" t="e">
        <f ca="1">(IF(SUM($J18:AE18)&gt;($H18-1),0,IF($G18=AF$24,1,IF(SUM($J18:AE18)=0,0,1))))*AF$26</f>
        <v>#N/A</v>
      </c>
      <c r="AG18" s="8" t="e">
        <f ca="1">(IF(SUM($J18:AF18)&gt;($H18-1),0,IF($G18=AG$24,1,IF(SUM($J18:AF18)=0,0,1))))*AG$26</f>
        <v>#N/A</v>
      </c>
      <c r="AH18" s="8" t="e">
        <f ca="1">(IF(SUM($J18:AG18)&gt;($H18-1),0,IF($G18=AH$24,1,IF(SUM($J18:AG18)=0,0,1))))*AH$26</f>
        <v>#N/A</v>
      </c>
      <c r="AI18" s="8" t="e">
        <f ca="1">(IF(SUM($J18:AH18)&gt;($H18-1),0,IF($G18=AI$24,1,IF(SUM($J18:AH18)=0,0,1))))*AI$26</f>
        <v>#N/A</v>
      </c>
      <c r="AJ18" s="8" t="e">
        <f ca="1">(IF(SUM($J18:AI18)&gt;($H18-1),0,IF($G18=AJ$24,1,IF(SUM($J18:AI18)=0,0,1))))*AJ$26</f>
        <v>#N/A</v>
      </c>
      <c r="AK18" s="8" t="e">
        <f ca="1">(IF(SUM($J18:AJ18)&gt;($H18-1),0,IF($G18=AK$24,1,IF(SUM($J18:AJ18)=0,0,1))))*AK$26</f>
        <v>#N/A</v>
      </c>
      <c r="AL18" s="8" t="e">
        <f ca="1">(IF(SUM($J18:AK18)&gt;($H18-1),0,IF($G18=AL$24,1,IF(SUM($J18:AK18)=0,0,1))))*AL$26</f>
        <v>#N/A</v>
      </c>
      <c r="AM18" s="8" t="e">
        <f ca="1">(IF(SUM($J18:AL18)&gt;($H18-1),0,IF($G18=AM$24,1,IF(SUM($J18:AL18)=0,0,1))))*AM$26</f>
        <v>#N/A</v>
      </c>
      <c r="AN18" s="8" t="e">
        <f ca="1">(IF(SUM($J18:AM18)&gt;($H18-1),0,IF($G18=AN$24,1,IF(SUM($J18:AM18)=0,0,1))))*AN$26</f>
        <v>#N/A</v>
      </c>
      <c r="AO18" s="8" t="e">
        <f ca="1">(IF(SUM($J18:AN18)&gt;($H18-1),0,IF($G18=AO$24,1,IF(SUM($J18:AN18)=0,0,1))))*AO$26</f>
        <v>#N/A</v>
      </c>
      <c r="AP18" s="8" t="e">
        <f ca="1">(IF(SUM($J18:AO18)&gt;($H18-1),0,IF($G18=AP$24,1,IF(SUM($J18:AO18)=0,0,1))))*AP$26</f>
        <v>#N/A</v>
      </c>
      <c r="AQ18" s="8" t="e">
        <f ca="1">(IF(SUM($J18:AP18)&gt;($H18-1),0,IF($G18=AQ$24,1,IF(SUM($J18:AP18)=0,0,1))))*AQ$26</f>
        <v>#N/A</v>
      </c>
      <c r="AR18" s="8" t="e">
        <f ca="1">(IF(SUM($J18:AQ18)&gt;($H18-1),0,IF($G18=AR$24,1,IF(SUM($J18:AQ18)=0,0,1))))*AR$26</f>
        <v>#N/A</v>
      </c>
      <c r="AS18" s="8" t="e">
        <f ca="1">(IF(SUM($J18:AR18)&gt;($H18-1),0,IF($G18=AS$24,1,IF(SUM($J18:AR18)=0,0,1))))*AS$26</f>
        <v>#N/A</v>
      </c>
      <c r="AT18" s="8" t="e">
        <f ca="1">(IF(SUM($J18:AS18)&gt;($H18-1),0,IF($G18=AT$24,1,IF(SUM($J18:AS18)=0,0,1))))*AT$26</f>
        <v>#N/A</v>
      </c>
      <c r="AU18" s="8" t="e">
        <f ca="1">(IF(SUM($J18:AT18)&gt;($H18-1),0,IF($G18=AU$24,1,IF(SUM($J18:AT18)=0,0,1))))*AU$26</f>
        <v>#N/A</v>
      </c>
      <c r="AV18" s="8" t="e">
        <f ca="1">(IF(SUM($J18:AU18)&gt;($H18-1),0,IF($G18=AV$24,1,IF(SUM($J18:AU18)=0,0,1))))*AV$26</f>
        <v>#N/A</v>
      </c>
      <c r="AW18" s="8" t="e">
        <f ca="1">(IF(SUM($J18:AV18)&gt;($H18-1),0,IF($G18=AW$24,1,IF(SUM($J18:AV18)=0,0,1))))*AW$26</f>
        <v>#N/A</v>
      </c>
      <c r="AX18" s="8" t="e">
        <f ca="1">(IF(SUM($J18:AW18)&gt;($H18-1),0,IF($G18=AX$24,1,IF(SUM($J18:AW18)=0,0,1))))*AX$26</f>
        <v>#N/A</v>
      </c>
      <c r="AY18" s="8" t="e">
        <f ca="1">(IF(SUM($J18:AX18)&gt;($H18-1),0,IF($G18=AY$24,1,IF(SUM($J18:AX18)=0,0,1))))*AY$26</f>
        <v>#N/A</v>
      </c>
      <c r="AZ18" s="8" t="e">
        <f ca="1">(IF(SUM($J18:AY18)&gt;($H18-1),0,IF($G18=AZ$24,1,IF(SUM($J18:AY18)=0,0,1))))*AZ$26</f>
        <v>#N/A</v>
      </c>
      <c r="BA18" s="8" t="e">
        <f ca="1">(IF(SUM($J18:AZ18)&gt;($H18-1),0,IF($G18=BA$24,1,IF(SUM($J18:AZ18)=0,0,1))))*BA$26</f>
        <v>#N/A</v>
      </c>
      <c r="BB18" s="8" t="e">
        <f ca="1">(IF(SUM($J18:BA18)&gt;($H18-1),0,IF($G18=BB$24,1,IF(SUM($J18:BA18)=0,0,1))))*BB$26</f>
        <v>#N/A</v>
      </c>
      <c r="BC18" s="8" t="e">
        <f ca="1">(IF(SUM($J18:BB18)&gt;($H18-1),0,IF($G18=BC$24,1,IF(SUM($J18:BB18)=0,0,1))))*BC$26</f>
        <v>#N/A</v>
      </c>
      <c r="BD18" s="8" t="e">
        <f ca="1">(IF(SUM($J18:BC18)&gt;($H18-1),0,IF($G18=BD$24,1,IF(SUM($J18:BC18)=0,0,1))))*BD$26</f>
        <v>#N/A</v>
      </c>
      <c r="BE18" s="8" t="e">
        <f ca="1">(IF(SUM($J18:BD18)&gt;($H18-1),0,IF($G18=BE$24,1,IF(SUM($J18:BD18)=0,0,1))))*BE$26</f>
        <v>#N/A</v>
      </c>
      <c r="BF18" s="119" t="str">
        <f>IF('1.G.Data'!C$14="","Alert: Fill Duration (months) on sheet 1. G.DATA",IF(G18="","",IF(H18&gt;BG18,$BJ$4,CONCATENATE($BI$10,BG18,$BI$11))))</f>
        <v/>
      </c>
      <c r="BG18" s="566">
        <f>IF(G18="",0,'1.G.Data'!C$14+1-'3.Tasks'!G18)</f>
        <v>0</v>
      </c>
      <c r="BK18" s="122" t="str">
        <f t="shared" si="4"/>
        <v>N/A</v>
      </c>
      <c r="BL18" s="120" t="e">
        <f t="shared" ca="1" si="5"/>
        <v>#N/A</v>
      </c>
      <c r="BM18" s="120" t="e">
        <f t="shared" ca="1" si="6"/>
        <v>#N/A</v>
      </c>
      <c r="BN18" s="120" t="e">
        <f t="shared" ca="1" si="7"/>
        <v>#N/A</v>
      </c>
      <c r="BO18" s="120" t="e">
        <f t="shared" ca="1" si="8"/>
        <v>#N/A</v>
      </c>
    </row>
    <row r="19" spans="1:82" hidden="1">
      <c r="A19" t="s">
        <v>33</v>
      </c>
      <c r="B19" s="3" t="s">
        <v>833</v>
      </c>
      <c r="C19" s="106"/>
      <c r="D19" s="106"/>
      <c r="E19" s="106"/>
      <c r="F19" s="106"/>
      <c r="G19" s="108"/>
      <c r="H19" s="108"/>
      <c r="I19" s="10">
        <f t="shared" si="1"/>
        <v>0</v>
      </c>
      <c r="J19" s="8">
        <f t="shared" ca="1" si="2"/>
        <v>0</v>
      </c>
      <c r="K19" s="8">
        <f t="shared" ca="1" si="3"/>
        <v>0</v>
      </c>
      <c r="L19" s="8" t="e">
        <f ca="1">(IF(SUM($J19:K19)&gt;($H19-1),0,IF($G19=L$24,1,IF(SUM($J19:K19)=0,0,1))))*L$26</f>
        <v>#N/A</v>
      </c>
      <c r="M19" s="8" t="e">
        <f ca="1">(IF(SUM($J19:L19)&gt;($H19-1),0,IF($G19=M$24,1,IF(SUM($J19:L19)=0,0,1))))*M$26</f>
        <v>#N/A</v>
      </c>
      <c r="N19" s="8" t="e">
        <f ca="1">(IF(SUM($J19:M19)&gt;($H19-1),0,IF($G19=N$24,1,IF(SUM($J19:M19)=0,0,1))))*N$26</f>
        <v>#N/A</v>
      </c>
      <c r="O19" s="8" t="e">
        <f ca="1">(IF(SUM($J19:N19)&gt;($H19-1),0,IF($G19=O$24,1,IF(SUM($J19:N19)=0,0,1))))*O$26</f>
        <v>#N/A</v>
      </c>
      <c r="P19" s="8" t="e">
        <f ca="1">(IF(SUM($J19:O19)&gt;($H19-1),0,IF($G19=P$24,1,IF(SUM($J19:O19)=0,0,1))))*P$26</f>
        <v>#N/A</v>
      </c>
      <c r="Q19" s="8" t="e">
        <f ca="1">(IF(SUM($J19:P19)&gt;($H19-1),0,IF($G19=Q$24,1,IF(SUM($J19:P19)=0,0,1))))*Q$26</f>
        <v>#N/A</v>
      </c>
      <c r="R19" s="8" t="e">
        <f ca="1">(IF(SUM($J19:Q19)&gt;($H19-1),0,IF($G19=R$24,1,IF(SUM($J19:Q19)=0,0,1))))*R$26</f>
        <v>#N/A</v>
      </c>
      <c r="S19" s="8" t="e">
        <f ca="1">(IF(SUM($J19:R19)&gt;($H19-1),0,IF($G19=S$24,1,IF(SUM($J19:R19)=0,0,1))))*S$26</f>
        <v>#N/A</v>
      </c>
      <c r="T19" s="8" t="e">
        <f ca="1">(IF(SUM($J19:S19)&gt;($H19-1),0,IF($G19=T$24,1,IF(SUM($J19:S19)=0,0,1))))*T$26</f>
        <v>#N/A</v>
      </c>
      <c r="U19" s="8" t="e">
        <f ca="1">(IF(SUM($J19:T19)&gt;($H19-1),0,IF($G19=U$24,1,IF(SUM($J19:T19)=0,0,1))))*U$26</f>
        <v>#N/A</v>
      </c>
      <c r="V19" s="8" t="e">
        <f ca="1">(IF(SUM($J19:U19)&gt;($H19-1),0,IF($G19=V$24,1,IF(SUM($J19:U19)=0,0,1))))*V$26</f>
        <v>#N/A</v>
      </c>
      <c r="W19" s="8" t="e">
        <f ca="1">(IF(SUM($J19:V19)&gt;($H19-1),0,IF($G19=W$24,1,IF(SUM($J19:V19)=0,0,1))))*W$26</f>
        <v>#N/A</v>
      </c>
      <c r="X19" s="8" t="e">
        <f ca="1">(IF(SUM($J19:W19)&gt;($H19-1),0,IF($G19=X$24,1,IF(SUM($J19:W19)=0,0,1))))*X$26</f>
        <v>#N/A</v>
      </c>
      <c r="Y19" s="8" t="e">
        <f ca="1">(IF(SUM($J19:X19)&gt;($H19-1),0,IF($G19=Y$24,1,IF(SUM($J19:X19)=0,0,1))))*Y$26</f>
        <v>#N/A</v>
      </c>
      <c r="Z19" s="8" t="e">
        <f ca="1">(IF(SUM($J19:Y19)&gt;($H19-1),0,IF($G19=Z$24,1,IF(SUM($J19:Y19)=0,0,1))))*Z$26</f>
        <v>#N/A</v>
      </c>
      <c r="AA19" s="8" t="e">
        <f ca="1">(IF(SUM($J19:Z19)&gt;($H19-1),0,IF($G19=AA$24,1,IF(SUM($J19:Z19)=0,0,1))))*AA$26</f>
        <v>#N/A</v>
      </c>
      <c r="AB19" s="8" t="e">
        <f ca="1">(IF(SUM($J19:AA19)&gt;($H19-1),0,IF($G19=AB$24,1,IF(SUM($J19:AA19)=0,0,1))))*AB$26</f>
        <v>#N/A</v>
      </c>
      <c r="AC19" s="8" t="e">
        <f ca="1">(IF(SUM($J19:AB19)&gt;($H19-1),0,IF($G19=AC$24,1,IF(SUM($J19:AB19)=0,0,1))))*AC$26</f>
        <v>#N/A</v>
      </c>
      <c r="AD19" s="8" t="e">
        <f ca="1">(IF(SUM($J19:AC19)&gt;($H19-1),0,IF($G19=AD$24,1,IF(SUM($J19:AC19)=0,0,1))))*AD$26</f>
        <v>#N/A</v>
      </c>
      <c r="AE19" s="8" t="e">
        <f ca="1">(IF(SUM($J19:AD19)&gt;($H19-1),0,IF($G19=AE$24,1,IF(SUM($J19:AD19)=0,0,1))))*AE$26</f>
        <v>#N/A</v>
      </c>
      <c r="AF19" s="8" t="e">
        <f ca="1">(IF(SUM($J19:AE19)&gt;($H19-1),0,IF($G19=AF$24,1,IF(SUM($J19:AE19)=0,0,1))))*AF$26</f>
        <v>#N/A</v>
      </c>
      <c r="AG19" s="8" t="e">
        <f ca="1">(IF(SUM($J19:AF19)&gt;($H19-1),0,IF($G19=AG$24,1,IF(SUM($J19:AF19)=0,0,1))))*AG$26</f>
        <v>#N/A</v>
      </c>
      <c r="AH19" s="8" t="e">
        <f ca="1">(IF(SUM($J19:AG19)&gt;($H19-1),0,IF($G19=AH$24,1,IF(SUM($J19:AG19)=0,0,1))))*AH$26</f>
        <v>#N/A</v>
      </c>
      <c r="AI19" s="8" t="e">
        <f ca="1">(IF(SUM($J19:AH19)&gt;($H19-1),0,IF($G19=AI$24,1,IF(SUM($J19:AH19)=0,0,1))))*AI$26</f>
        <v>#N/A</v>
      </c>
      <c r="AJ19" s="8" t="e">
        <f ca="1">(IF(SUM($J19:AI19)&gt;($H19-1),0,IF($G19=AJ$24,1,IF(SUM($J19:AI19)=0,0,1))))*AJ$26</f>
        <v>#N/A</v>
      </c>
      <c r="AK19" s="8" t="e">
        <f ca="1">(IF(SUM($J19:AJ19)&gt;($H19-1),0,IF($G19=AK$24,1,IF(SUM($J19:AJ19)=0,0,1))))*AK$26</f>
        <v>#N/A</v>
      </c>
      <c r="AL19" s="8" t="e">
        <f ca="1">(IF(SUM($J19:AK19)&gt;($H19-1),0,IF($G19=AL$24,1,IF(SUM($J19:AK19)=0,0,1))))*AL$26</f>
        <v>#N/A</v>
      </c>
      <c r="AM19" s="8" t="e">
        <f ca="1">(IF(SUM($J19:AL19)&gt;($H19-1),0,IF($G19=AM$24,1,IF(SUM($J19:AL19)=0,0,1))))*AM$26</f>
        <v>#N/A</v>
      </c>
      <c r="AN19" s="8" t="e">
        <f ca="1">(IF(SUM($J19:AM19)&gt;($H19-1),0,IF($G19=AN$24,1,IF(SUM($J19:AM19)=0,0,1))))*AN$26</f>
        <v>#N/A</v>
      </c>
      <c r="AO19" s="8" t="e">
        <f ca="1">(IF(SUM($J19:AN19)&gt;($H19-1),0,IF($G19=AO$24,1,IF(SUM($J19:AN19)=0,0,1))))*AO$26</f>
        <v>#N/A</v>
      </c>
      <c r="AP19" s="8" t="e">
        <f ca="1">(IF(SUM($J19:AO19)&gt;($H19-1),0,IF($G19=AP$24,1,IF(SUM($J19:AO19)=0,0,1))))*AP$26</f>
        <v>#N/A</v>
      </c>
      <c r="AQ19" s="8" t="e">
        <f ca="1">(IF(SUM($J19:AP19)&gt;($H19-1),0,IF($G19=AQ$24,1,IF(SUM($J19:AP19)=0,0,1))))*AQ$26</f>
        <v>#N/A</v>
      </c>
      <c r="AR19" s="8" t="e">
        <f ca="1">(IF(SUM($J19:AQ19)&gt;($H19-1),0,IF($G19=AR$24,1,IF(SUM($J19:AQ19)=0,0,1))))*AR$26</f>
        <v>#N/A</v>
      </c>
      <c r="AS19" s="8" t="e">
        <f ca="1">(IF(SUM($J19:AR19)&gt;($H19-1),0,IF($G19=AS$24,1,IF(SUM($J19:AR19)=0,0,1))))*AS$26</f>
        <v>#N/A</v>
      </c>
      <c r="AT19" s="8" t="e">
        <f ca="1">(IF(SUM($J19:AS19)&gt;($H19-1),0,IF($G19=AT$24,1,IF(SUM($J19:AS19)=0,0,1))))*AT$26</f>
        <v>#N/A</v>
      </c>
      <c r="AU19" s="8" t="e">
        <f ca="1">(IF(SUM($J19:AT19)&gt;($H19-1),0,IF($G19=AU$24,1,IF(SUM($J19:AT19)=0,0,1))))*AU$26</f>
        <v>#N/A</v>
      </c>
      <c r="AV19" s="8" t="e">
        <f ca="1">(IF(SUM($J19:AU19)&gt;($H19-1),0,IF($G19=AV$24,1,IF(SUM($J19:AU19)=0,0,1))))*AV$26</f>
        <v>#N/A</v>
      </c>
      <c r="AW19" s="8" t="e">
        <f ca="1">(IF(SUM($J19:AV19)&gt;($H19-1),0,IF($G19=AW$24,1,IF(SUM($J19:AV19)=0,0,1))))*AW$26</f>
        <v>#N/A</v>
      </c>
      <c r="AX19" s="8" t="e">
        <f ca="1">(IF(SUM($J19:AW19)&gt;($H19-1),0,IF($G19=AX$24,1,IF(SUM($J19:AW19)=0,0,1))))*AX$26</f>
        <v>#N/A</v>
      </c>
      <c r="AY19" s="8" t="e">
        <f ca="1">(IF(SUM($J19:AX19)&gt;($H19-1),0,IF($G19=AY$24,1,IF(SUM($J19:AX19)=0,0,1))))*AY$26</f>
        <v>#N/A</v>
      </c>
      <c r="AZ19" s="8" t="e">
        <f ca="1">(IF(SUM($J19:AY19)&gt;($H19-1),0,IF($G19=AZ$24,1,IF(SUM($J19:AY19)=0,0,1))))*AZ$26</f>
        <v>#N/A</v>
      </c>
      <c r="BA19" s="8" t="e">
        <f ca="1">(IF(SUM($J19:AZ19)&gt;($H19-1),0,IF($G19=BA$24,1,IF(SUM($J19:AZ19)=0,0,1))))*BA$26</f>
        <v>#N/A</v>
      </c>
      <c r="BB19" s="8" t="e">
        <f ca="1">(IF(SUM($J19:BA19)&gt;($H19-1),0,IF($G19=BB$24,1,IF(SUM($J19:BA19)=0,0,1))))*BB$26</f>
        <v>#N/A</v>
      </c>
      <c r="BC19" s="8" t="e">
        <f ca="1">(IF(SUM($J19:BB19)&gt;($H19-1),0,IF($G19=BC$24,1,IF(SUM($J19:BB19)=0,0,1))))*BC$26</f>
        <v>#N/A</v>
      </c>
      <c r="BD19" s="8" t="e">
        <f ca="1">(IF(SUM($J19:BC19)&gt;($H19-1),0,IF($G19=BD$24,1,IF(SUM($J19:BC19)=0,0,1))))*BD$26</f>
        <v>#N/A</v>
      </c>
      <c r="BE19" s="8" t="e">
        <f ca="1">(IF(SUM($J19:BD19)&gt;($H19-1),0,IF($G19=BE$24,1,IF(SUM($J19:BD19)=0,0,1))))*BE$26</f>
        <v>#N/A</v>
      </c>
      <c r="BF19" s="119" t="str">
        <f>IF('1.G.Data'!C$14="","Alert: Fill Duration (months) on sheet 1. G.DATA",IF(G19="","",IF(H19&gt;BG19,$BJ$4,CONCATENATE($BI$10,BG19,$BI$11))))</f>
        <v/>
      </c>
      <c r="BG19" s="566">
        <f>IF(G19="",0,'1.G.Data'!C$14+1-'3.Tasks'!G19)</f>
        <v>0</v>
      </c>
      <c r="BK19" s="122" t="str">
        <f t="shared" si="4"/>
        <v>N/A</v>
      </c>
      <c r="BL19" s="120" t="e">
        <f t="shared" ca="1" si="5"/>
        <v>#N/A</v>
      </c>
      <c r="BM19" s="120" t="e">
        <f t="shared" ca="1" si="6"/>
        <v>#N/A</v>
      </c>
      <c r="BN19" s="120" t="e">
        <f t="shared" ca="1" si="7"/>
        <v>#N/A</v>
      </c>
      <c r="BO19" s="120" t="e">
        <f t="shared" ca="1" si="8"/>
        <v>#N/A</v>
      </c>
    </row>
    <row r="20" spans="1:82" hidden="1">
      <c r="A20" t="s">
        <v>34</v>
      </c>
      <c r="B20" s="3" t="s">
        <v>834</v>
      </c>
      <c r="C20" s="106"/>
      <c r="D20" s="106"/>
      <c r="E20" s="106"/>
      <c r="F20" s="106"/>
      <c r="G20" s="108"/>
      <c r="H20" s="108"/>
      <c r="I20" s="10">
        <f t="shared" si="1"/>
        <v>0</v>
      </c>
      <c r="J20" s="8">
        <f t="shared" ca="1" si="2"/>
        <v>0</v>
      </c>
      <c r="K20" s="8">
        <f t="shared" ca="1" si="3"/>
        <v>0</v>
      </c>
      <c r="L20" s="8" t="e">
        <f ca="1">(IF(SUM($J20:K20)&gt;($H20-1),0,IF($G20=L$24,1,IF(SUM($J20:K20)=0,0,1))))*L$26</f>
        <v>#N/A</v>
      </c>
      <c r="M20" s="8" t="e">
        <f ca="1">(IF(SUM($J20:L20)&gt;($H20-1),0,IF($G20=M$24,1,IF(SUM($J20:L20)=0,0,1))))*M$26</f>
        <v>#N/A</v>
      </c>
      <c r="N20" s="8" t="e">
        <f ca="1">(IF(SUM($J20:M20)&gt;($H20-1),0,IF($G20=N$24,1,IF(SUM($J20:M20)=0,0,1))))*N$26</f>
        <v>#N/A</v>
      </c>
      <c r="O20" s="8" t="e">
        <f ca="1">(IF(SUM($J20:N20)&gt;($H20-1),0,IF($G20=O$24,1,IF(SUM($J20:N20)=0,0,1))))*O$26</f>
        <v>#N/A</v>
      </c>
      <c r="P20" s="8" t="e">
        <f ca="1">(IF(SUM($J20:O20)&gt;($H20-1),0,IF($G20=P$24,1,IF(SUM($J20:O20)=0,0,1))))*P$26</f>
        <v>#N/A</v>
      </c>
      <c r="Q20" s="8" t="e">
        <f ca="1">(IF(SUM($J20:P20)&gt;($H20-1),0,IF($G20=Q$24,1,IF(SUM($J20:P20)=0,0,1))))*Q$26</f>
        <v>#N/A</v>
      </c>
      <c r="R20" s="8" t="e">
        <f ca="1">(IF(SUM($J20:Q20)&gt;($H20-1),0,IF($G20=R$24,1,IF(SUM($J20:Q20)=0,0,1))))*R$26</f>
        <v>#N/A</v>
      </c>
      <c r="S20" s="8" t="e">
        <f ca="1">(IF(SUM($J20:R20)&gt;($H20-1),0,IF($G20=S$24,1,IF(SUM($J20:R20)=0,0,1))))*S$26</f>
        <v>#N/A</v>
      </c>
      <c r="T20" s="8" t="e">
        <f ca="1">(IF(SUM($J20:S20)&gt;($H20-1),0,IF($G20=T$24,1,IF(SUM($J20:S20)=0,0,1))))*T$26</f>
        <v>#N/A</v>
      </c>
      <c r="U20" s="8" t="e">
        <f ca="1">(IF(SUM($J20:T20)&gt;($H20-1),0,IF($G20=U$24,1,IF(SUM($J20:T20)=0,0,1))))*U$26</f>
        <v>#N/A</v>
      </c>
      <c r="V20" s="8" t="e">
        <f ca="1">(IF(SUM($J20:U20)&gt;($H20-1),0,IF($G20=V$24,1,IF(SUM($J20:U20)=0,0,1))))*V$26</f>
        <v>#N/A</v>
      </c>
      <c r="W20" s="8" t="e">
        <f ca="1">(IF(SUM($J20:V20)&gt;($H20-1),0,IF($G20=W$24,1,IF(SUM($J20:V20)=0,0,1))))*W$26</f>
        <v>#N/A</v>
      </c>
      <c r="X20" s="8" t="e">
        <f ca="1">(IF(SUM($J20:W20)&gt;($H20-1),0,IF($G20=X$24,1,IF(SUM($J20:W20)=0,0,1))))*X$26</f>
        <v>#N/A</v>
      </c>
      <c r="Y20" s="8" t="e">
        <f ca="1">(IF(SUM($J20:X20)&gt;($H20-1),0,IF($G20=Y$24,1,IF(SUM($J20:X20)=0,0,1))))*Y$26</f>
        <v>#N/A</v>
      </c>
      <c r="Z20" s="8" t="e">
        <f ca="1">(IF(SUM($J20:Y20)&gt;($H20-1),0,IF($G20=Z$24,1,IF(SUM($J20:Y20)=0,0,1))))*Z$26</f>
        <v>#N/A</v>
      </c>
      <c r="AA20" s="8" t="e">
        <f ca="1">(IF(SUM($J20:Z20)&gt;($H20-1),0,IF($G20=AA$24,1,IF(SUM($J20:Z20)=0,0,1))))*AA$26</f>
        <v>#N/A</v>
      </c>
      <c r="AB20" s="8" t="e">
        <f ca="1">(IF(SUM($J20:AA20)&gt;($H20-1),0,IF($G20=AB$24,1,IF(SUM($J20:AA20)=0,0,1))))*AB$26</f>
        <v>#N/A</v>
      </c>
      <c r="AC20" s="8" t="e">
        <f ca="1">(IF(SUM($J20:AB20)&gt;($H20-1),0,IF($G20=AC$24,1,IF(SUM($J20:AB20)=0,0,1))))*AC$26</f>
        <v>#N/A</v>
      </c>
      <c r="AD20" s="8" t="e">
        <f ca="1">(IF(SUM($J20:AC20)&gt;($H20-1),0,IF($G20=AD$24,1,IF(SUM($J20:AC20)=0,0,1))))*AD$26</f>
        <v>#N/A</v>
      </c>
      <c r="AE20" s="8" t="e">
        <f ca="1">(IF(SUM($J20:AD20)&gt;($H20-1),0,IF($G20=AE$24,1,IF(SUM($J20:AD20)=0,0,1))))*AE$26</f>
        <v>#N/A</v>
      </c>
      <c r="AF20" s="8" t="e">
        <f ca="1">(IF(SUM($J20:AE20)&gt;($H20-1),0,IF($G20=AF$24,1,IF(SUM($J20:AE20)=0,0,1))))*AF$26</f>
        <v>#N/A</v>
      </c>
      <c r="AG20" s="8" t="e">
        <f ca="1">(IF(SUM($J20:AF20)&gt;($H20-1),0,IF($G20=AG$24,1,IF(SUM($J20:AF20)=0,0,1))))*AG$26</f>
        <v>#N/A</v>
      </c>
      <c r="AH20" s="8" t="e">
        <f ca="1">(IF(SUM($J20:AG20)&gt;($H20-1),0,IF($G20=AH$24,1,IF(SUM($J20:AG20)=0,0,1))))*AH$26</f>
        <v>#N/A</v>
      </c>
      <c r="AI20" s="8" t="e">
        <f ca="1">(IF(SUM($J20:AH20)&gt;($H20-1),0,IF($G20=AI$24,1,IF(SUM($J20:AH20)=0,0,1))))*AI$26</f>
        <v>#N/A</v>
      </c>
      <c r="AJ20" s="8" t="e">
        <f ca="1">(IF(SUM($J20:AI20)&gt;($H20-1),0,IF($G20=AJ$24,1,IF(SUM($J20:AI20)=0,0,1))))*AJ$26</f>
        <v>#N/A</v>
      </c>
      <c r="AK20" s="8" t="e">
        <f ca="1">(IF(SUM($J20:AJ20)&gt;($H20-1),0,IF($G20=AK$24,1,IF(SUM($J20:AJ20)=0,0,1))))*AK$26</f>
        <v>#N/A</v>
      </c>
      <c r="AL20" s="8" t="e">
        <f ca="1">(IF(SUM($J20:AK20)&gt;($H20-1),0,IF($G20=AL$24,1,IF(SUM($J20:AK20)=0,0,1))))*AL$26</f>
        <v>#N/A</v>
      </c>
      <c r="AM20" s="8" t="e">
        <f ca="1">(IF(SUM($J20:AL20)&gt;($H20-1),0,IF($G20=AM$24,1,IF(SUM($J20:AL20)=0,0,1))))*AM$26</f>
        <v>#N/A</v>
      </c>
      <c r="AN20" s="8" t="e">
        <f ca="1">(IF(SUM($J20:AM20)&gt;($H20-1),0,IF($G20=AN$24,1,IF(SUM($J20:AM20)=0,0,1))))*AN$26</f>
        <v>#N/A</v>
      </c>
      <c r="AO20" s="8" t="e">
        <f ca="1">(IF(SUM($J20:AN20)&gt;($H20-1),0,IF($G20=AO$24,1,IF(SUM($J20:AN20)=0,0,1))))*AO$26</f>
        <v>#N/A</v>
      </c>
      <c r="AP20" s="8" t="e">
        <f ca="1">(IF(SUM($J20:AO20)&gt;($H20-1),0,IF($G20=AP$24,1,IF(SUM($J20:AO20)=0,0,1))))*AP$26</f>
        <v>#N/A</v>
      </c>
      <c r="AQ20" s="8" t="e">
        <f ca="1">(IF(SUM($J20:AP20)&gt;($H20-1),0,IF($G20=AQ$24,1,IF(SUM($J20:AP20)=0,0,1))))*AQ$26</f>
        <v>#N/A</v>
      </c>
      <c r="AR20" s="8" t="e">
        <f ca="1">(IF(SUM($J20:AQ20)&gt;($H20-1),0,IF($G20=AR$24,1,IF(SUM($J20:AQ20)=0,0,1))))*AR$26</f>
        <v>#N/A</v>
      </c>
      <c r="AS20" s="8" t="e">
        <f ca="1">(IF(SUM($J20:AR20)&gt;($H20-1),0,IF($G20=AS$24,1,IF(SUM($J20:AR20)=0,0,1))))*AS$26</f>
        <v>#N/A</v>
      </c>
      <c r="AT20" s="8" t="e">
        <f ca="1">(IF(SUM($J20:AS20)&gt;($H20-1),0,IF($G20=AT$24,1,IF(SUM($J20:AS20)=0,0,1))))*AT$26</f>
        <v>#N/A</v>
      </c>
      <c r="AU20" s="8" t="e">
        <f ca="1">(IF(SUM($J20:AT20)&gt;($H20-1),0,IF($G20=AU$24,1,IF(SUM($J20:AT20)=0,0,1))))*AU$26</f>
        <v>#N/A</v>
      </c>
      <c r="AV20" s="8" t="e">
        <f ca="1">(IF(SUM($J20:AU20)&gt;($H20-1),0,IF($G20=AV$24,1,IF(SUM($J20:AU20)=0,0,1))))*AV$26</f>
        <v>#N/A</v>
      </c>
      <c r="AW20" s="8" t="e">
        <f ca="1">(IF(SUM($J20:AV20)&gt;($H20-1),0,IF($G20=AW$24,1,IF(SUM($J20:AV20)=0,0,1))))*AW$26</f>
        <v>#N/A</v>
      </c>
      <c r="AX20" s="8" t="e">
        <f ca="1">(IF(SUM($J20:AW20)&gt;($H20-1),0,IF($G20=AX$24,1,IF(SUM($J20:AW20)=0,0,1))))*AX$26</f>
        <v>#N/A</v>
      </c>
      <c r="AY20" s="8" t="e">
        <f ca="1">(IF(SUM($J20:AX20)&gt;($H20-1),0,IF($G20=AY$24,1,IF(SUM($J20:AX20)=0,0,1))))*AY$26</f>
        <v>#N/A</v>
      </c>
      <c r="AZ20" s="8" t="e">
        <f ca="1">(IF(SUM($J20:AY20)&gt;($H20-1),0,IF($G20=AZ$24,1,IF(SUM($J20:AY20)=0,0,1))))*AZ$26</f>
        <v>#N/A</v>
      </c>
      <c r="BA20" s="8" t="e">
        <f ca="1">(IF(SUM($J20:AZ20)&gt;($H20-1),0,IF($G20=BA$24,1,IF(SUM($J20:AZ20)=0,0,1))))*BA$26</f>
        <v>#N/A</v>
      </c>
      <c r="BB20" s="8" t="e">
        <f ca="1">(IF(SUM($J20:BA20)&gt;($H20-1),0,IF($G20=BB$24,1,IF(SUM($J20:BA20)=0,0,1))))*BB$26</f>
        <v>#N/A</v>
      </c>
      <c r="BC20" s="8" t="e">
        <f ca="1">(IF(SUM($J20:BB20)&gt;($H20-1),0,IF($G20=BC$24,1,IF(SUM($J20:BB20)=0,0,1))))*BC$26</f>
        <v>#N/A</v>
      </c>
      <c r="BD20" s="8" t="e">
        <f ca="1">(IF(SUM($J20:BC20)&gt;($H20-1),0,IF($G20=BD$24,1,IF(SUM($J20:BC20)=0,0,1))))*BD$26</f>
        <v>#N/A</v>
      </c>
      <c r="BE20" s="8" t="e">
        <f ca="1">(IF(SUM($J20:BD20)&gt;($H20-1),0,IF($G20=BE$24,1,IF(SUM($J20:BD20)=0,0,1))))*BE$26</f>
        <v>#N/A</v>
      </c>
      <c r="BF20" s="119" t="str">
        <f>IF('1.G.Data'!C$14="","Alert: Fill Duration (months) on sheet 1. G.DATA",IF(G20="","",IF(H20&gt;BG20,$BJ$4,CONCATENATE($BI$10,BG20,$BI$11))))</f>
        <v/>
      </c>
      <c r="BG20" s="566">
        <f>IF(G20="",0,'1.G.Data'!C$14+1-'3.Tasks'!G20)</f>
        <v>0</v>
      </c>
      <c r="BK20" s="122" t="str">
        <f t="shared" si="4"/>
        <v>N/A</v>
      </c>
      <c r="BL20" s="120" t="e">
        <f t="shared" ca="1" si="5"/>
        <v>#N/A</v>
      </c>
      <c r="BM20" s="120" t="e">
        <f t="shared" ca="1" si="6"/>
        <v>#N/A</v>
      </c>
      <c r="BN20" s="120" t="e">
        <f t="shared" ca="1" si="7"/>
        <v>#N/A</v>
      </c>
      <c r="BO20" s="120" t="e">
        <f t="shared" ca="1" si="8"/>
        <v>#N/A</v>
      </c>
    </row>
    <row r="21" spans="1:82" hidden="1">
      <c r="A21" t="s">
        <v>35</v>
      </c>
      <c r="B21" s="3" t="s">
        <v>835</v>
      </c>
      <c r="C21" s="106"/>
      <c r="D21" s="106"/>
      <c r="E21" s="106"/>
      <c r="F21" s="106"/>
      <c r="G21" s="108"/>
      <c r="H21" s="108"/>
      <c r="I21" s="10">
        <f t="shared" si="1"/>
        <v>0</v>
      </c>
      <c r="J21" s="8">
        <f t="shared" ca="1" si="2"/>
        <v>0</v>
      </c>
      <c r="K21" s="8">
        <f t="shared" ca="1" si="3"/>
        <v>0</v>
      </c>
      <c r="L21" s="8" t="e">
        <f ca="1">(IF(SUM($J21:K21)&gt;($H21-1),0,IF($G21=L$24,1,IF(SUM($J21:K21)=0,0,1))))*L$26</f>
        <v>#N/A</v>
      </c>
      <c r="M21" s="8" t="e">
        <f ca="1">(IF(SUM($J21:L21)&gt;($H21-1),0,IF($G21=M$24,1,IF(SUM($J21:L21)=0,0,1))))*M$26</f>
        <v>#N/A</v>
      </c>
      <c r="N21" s="8" t="e">
        <f ca="1">(IF(SUM($J21:M21)&gt;($H21-1),0,IF($G21=N$24,1,IF(SUM($J21:M21)=0,0,1))))*N$26</f>
        <v>#N/A</v>
      </c>
      <c r="O21" s="8" t="e">
        <f ca="1">(IF(SUM($J21:N21)&gt;($H21-1),0,IF($G21=O$24,1,IF(SUM($J21:N21)=0,0,1))))*O$26</f>
        <v>#N/A</v>
      </c>
      <c r="P21" s="8" t="e">
        <f ca="1">(IF(SUM($J21:O21)&gt;($H21-1),0,IF($G21=P$24,1,IF(SUM($J21:O21)=0,0,1))))*P$26</f>
        <v>#N/A</v>
      </c>
      <c r="Q21" s="8" t="e">
        <f ca="1">(IF(SUM($J21:P21)&gt;($H21-1),0,IF($G21=Q$24,1,IF(SUM($J21:P21)=0,0,1))))*Q$26</f>
        <v>#N/A</v>
      </c>
      <c r="R21" s="8" t="e">
        <f ca="1">(IF(SUM($J21:Q21)&gt;($H21-1),0,IF($G21=R$24,1,IF(SUM($J21:Q21)=0,0,1))))*R$26</f>
        <v>#N/A</v>
      </c>
      <c r="S21" s="8" t="e">
        <f ca="1">(IF(SUM($J21:R21)&gt;($H21-1),0,IF($G21=S$24,1,IF(SUM($J21:R21)=0,0,1))))*S$26</f>
        <v>#N/A</v>
      </c>
      <c r="T21" s="8" t="e">
        <f ca="1">(IF(SUM($J21:S21)&gt;($H21-1),0,IF($G21=T$24,1,IF(SUM($J21:S21)=0,0,1))))*T$26</f>
        <v>#N/A</v>
      </c>
      <c r="U21" s="8" t="e">
        <f ca="1">(IF(SUM($J21:T21)&gt;($H21-1),0,IF($G21=U$24,1,IF(SUM($J21:T21)=0,0,1))))*U$26</f>
        <v>#N/A</v>
      </c>
      <c r="V21" s="8" t="e">
        <f ca="1">(IF(SUM($J21:U21)&gt;($H21-1),0,IF($G21=V$24,1,IF(SUM($J21:U21)=0,0,1))))*V$26</f>
        <v>#N/A</v>
      </c>
      <c r="W21" s="8" t="e">
        <f ca="1">(IF(SUM($J21:V21)&gt;($H21-1),0,IF($G21=W$24,1,IF(SUM($J21:V21)=0,0,1))))*W$26</f>
        <v>#N/A</v>
      </c>
      <c r="X21" s="8" t="e">
        <f ca="1">(IF(SUM($J21:W21)&gt;($H21-1),0,IF($G21=X$24,1,IF(SUM($J21:W21)=0,0,1))))*X$26</f>
        <v>#N/A</v>
      </c>
      <c r="Y21" s="8" t="e">
        <f ca="1">(IF(SUM($J21:X21)&gt;($H21-1),0,IF($G21=Y$24,1,IF(SUM($J21:X21)=0,0,1))))*Y$26</f>
        <v>#N/A</v>
      </c>
      <c r="Z21" s="8" t="e">
        <f ca="1">(IF(SUM($J21:Y21)&gt;($H21-1),0,IF($G21=Z$24,1,IF(SUM($J21:Y21)=0,0,1))))*Z$26</f>
        <v>#N/A</v>
      </c>
      <c r="AA21" s="8" t="e">
        <f ca="1">(IF(SUM($J21:Z21)&gt;($H21-1),0,IF($G21=AA$24,1,IF(SUM($J21:Z21)=0,0,1))))*AA$26</f>
        <v>#N/A</v>
      </c>
      <c r="AB21" s="8" t="e">
        <f ca="1">(IF(SUM($J21:AA21)&gt;($H21-1),0,IF($G21=AB$24,1,IF(SUM($J21:AA21)=0,0,1))))*AB$26</f>
        <v>#N/A</v>
      </c>
      <c r="AC21" s="8" t="e">
        <f ca="1">(IF(SUM($J21:AB21)&gt;($H21-1),0,IF($G21=AC$24,1,IF(SUM($J21:AB21)=0,0,1))))*AC$26</f>
        <v>#N/A</v>
      </c>
      <c r="AD21" s="8" t="e">
        <f ca="1">(IF(SUM($J21:AC21)&gt;($H21-1),0,IF($G21=AD$24,1,IF(SUM($J21:AC21)=0,0,1))))*AD$26</f>
        <v>#N/A</v>
      </c>
      <c r="AE21" s="8" t="e">
        <f ca="1">(IF(SUM($J21:AD21)&gt;($H21-1),0,IF($G21=AE$24,1,IF(SUM($J21:AD21)=0,0,1))))*AE$26</f>
        <v>#N/A</v>
      </c>
      <c r="AF21" s="8" t="e">
        <f ca="1">(IF(SUM($J21:AE21)&gt;($H21-1),0,IF($G21=AF$24,1,IF(SUM($J21:AE21)=0,0,1))))*AF$26</f>
        <v>#N/A</v>
      </c>
      <c r="AG21" s="8" t="e">
        <f ca="1">(IF(SUM($J21:AF21)&gt;($H21-1),0,IF($G21=AG$24,1,IF(SUM($J21:AF21)=0,0,1))))*AG$26</f>
        <v>#N/A</v>
      </c>
      <c r="AH21" s="8" t="e">
        <f ca="1">(IF(SUM($J21:AG21)&gt;($H21-1),0,IF($G21=AH$24,1,IF(SUM($J21:AG21)=0,0,1))))*AH$26</f>
        <v>#N/A</v>
      </c>
      <c r="AI21" s="8" t="e">
        <f ca="1">(IF(SUM($J21:AH21)&gt;($H21-1),0,IF($G21=AI$24,1,IF(SUM($J21:AH21)=0,0,1))))*AI$26</f>
        <v>#N/A</v>
      </c>
      <c r="AJ21" s="8" t="e">
        <f ca="1">(IF(SUM($J21:AI21)&gt;($H21-1),0,IF($G21=AJ$24,1,IF(SUM($J21:AI21)=0,0,1))))*AJ$26</f>
        <v>#N/A</v>
      </c>
      <c r="AK21" s="8" t="e">
        <f ca="1">(IF(SUM($J21:AJ21)&gt;($H21-1),0,IF($G21=AK$24,1,IF(SUM($J21:AJ21)=0,0,1))))*AK$26</f>
        <v>#N/A</v>
      </c>
      <c r="AL21" s="8" t="e">
        <f ca="1">(IF(SUM($J21:AK21)&gt;($H21-1),0,IF($G21=AL$24,1,IF(SUM($J21:AK21)=0,0,1))))*AL$26</f>
        <v>#N/A</v>
      </c>
      <c r="AM21" s="8" t="e">
        <f ca="1">(IF(SUM($J21:AL21)&gt;($H21-1),0,IF($G21=AM$24,1,IF(SUM($J21:AL21)=0,0,1))))*AM$26</f>
        <v>#N/A</v>
      </c>
      <c r="AN21" s="8" t="e">
        <f ca="1">(IF(SUM($J21:AM21)&gt;($H21-1),0,IF($G21=AN$24,1,IF(SUM($J21:AM21)=0,0,1))))*AN$26</f>
        <v>#N/A</v>
      </c>
      <c r="AO21" s="8" t="e">
        <f ca="1">(IF(SUM($J21:AN21)&gt;($H21-1),0,IF($G21=AO$24,1,IF(SUM($J21:AN21)=0,0,1))))*AO$26</f>
        <v>#N/A</v>
      </c>
      <c r="AP21" s="8" t="e">
        <f ca="1">(IF(SUM($J21:AO21)&gt;($H21-1),0,IF($G21=AP$24,1,IF(SUM($J21:AO21)=0,0,1))))*AP$26</f>
        <v>#N/A</v>
      </c>
      <c r="AQ21" s="8" t="e">
        <f ca="1">(IF(SUM($J21:AP21)&gt;($H21-1),0,IF($G21=AQ$24,1,IF(SUM($J21:AP21)=0,0,1))))*AQ$26</f>
        <v>#N/A</v>
      </c>
      <c r="AR21" s="8" t="e">
        <f ca="1">(IF(SUM($J21:AQ21)&gt;($H21-1),0,IF($G21=AR$24,1,IF(SUM($J21:AQ21)=0,0,1))))*AR$26</f>
        <v>#N/A</v>
      </c>
      <c r="AS21" s="8" t="e">
        <f ca="1">(IF(SUM($J21:AR21)&gt;($H21-1),0,IF($G21=AS$24,1,IF(SUM($J21:AR21)=0,0,1))))*AS$26</f>
        <v>#N/A</v>
      </c>
      <c r="AT21" s="8" t="e">
        <f ca="1">(IF(SUM($J21:AS21)&gt;($H21-1),0,IF($G21=AT$24,1,IF(SUM($J21:AS21)=0,0,1))))*AT$26</f>
        <v>#N/A</v>
      </c>
      <c r="AU21" s="8" t="e">
        <f ca="1">(IF(SUM($J21:AT21)&gt;($H21-1),0,IF($G21=AU$24,1,IF(SUM($J21:AT21)=0,0,1))))*AU$26</f>
        <v>#N/A</v>
      </c>
      <c r="AV21" s="8" t="e">
        <f ca="1">(IF(SUM($J21:AU21)&gt;($H21-1),0,IF($G21=AV$24,1,IF(SUM($J21:AU21)=0,0,1))))*AV$26</f>
        <v>#N/A</v>
      </c>
      <c r="AW21" s="8" t="e">
        <f ca="1">(IF(SUM($J21:AV21)&gt;($H21-1),0,IF($G21=AW$24,1,IF(SUM($J21:AV21)=0,0,1))))*AW$26</f>
        <v>#N/A</v>
      </c>
      <c r="AX21" s="8" t="e">
        <f ca="1">(IF(SUM($J21:AW21)&gt;($H21-1),0,IF($G21=AX$24,1,IF(SUM($J21:AW21)=0,0,1))))*AX$26</f>
        <v>#N/A</v>
      </c>
      <c r="AY21" s="8" t="e">
        <f ca="1">(IF(SUM($J21:AX21)&gt;($H21-1),0,IF($G21=AY$24,1,IF(SUM($J21:AX21)=0,0,1))))*AY$26</f>
        <v>#N/A</v>
      </c>
      <c r="AZ21" s="8" t="e">
        <f ca="1">(IF(SUM($J21:AY21)&gt;($H21-1),0,IF($G21=AZ$24,1,IF(SUM($J21:AY21)=0,0,1))))*AZ$26</f>
        <v>#N/A</v>
      </c>
      <c r="BA21" s="8" t="e">
        <f ca="1">(IF(SUM($J21:AZ21)&gt;($H21-1),0,IF($G21=BA$24,1,IF(SUM($J21:AZ21)=0,0,1))))*BA$26</f>
        <v>#N/A</v>
      </c>
      <c r="BB21" s="8" t="e">
        <f ca="1">(IF(SUM($J21:BA21)&gt;($H21-1),0,IF($G21=BB$24,1,IF(SUM($J21:BA21)=0,0,1))))*BB$26</f>
        <v>#N/A</v>
      </c>
      <c r="BC21" s="8" t="e">
        <f ca="1">(IF(SUM($J21:BB21)&gt;($H21-1),0,IF($G21=BC$24,1,IF(SUM($J21:BB21)=0,0,1))))*BC$26</f>
        <v>#N/A</v>
      </c>
      <c r="BD21" s="8" t="e">
        <f ca="1">(IF(SUM($J21:BC21)&gt;($H21-1),0,IF($G21=BD$24,1,IF(SUM($J21:BC21)=0,0,1))))*BD$26</f>
        <v>#N/A</v>
      </c>
      <c r="BE21" s="8" t="e">
        <f ca="1">(IF(SUM($J21:BD21)&gt;($H21-1),0,IF($G21=BE$24,1,IF(SUM($J21:BD21)=0,0,1))))*BE$26</f>
        <v>#N/A</v>
      </c>
      <c r="BF21" s="119" t="str">
        <f>IF('1.G.Data'!C$14="","Alert: Fill Duration (months) on sheet 1. G.DATA",IF(G21="","",IF(H21&gt;BG21,$BJ$4,CONCATENATE($BI$10,BG21,$BI$11))))</f>
        <v/>
      </c>
      <c r="BG21" s="566">
        <f>IF(G21="",0,'1.G.Data'!C$14+1-'3.Tasks'!G21)</f>
        <v>0</v>
      </c>
      <c r="BK21" s="122" t="str">
        <f t="shared" si="4"/>
        <v>N/A</v>
      </c>
      <c r="BL21" s="120" t="e">
        <f t="shared" ca="1" si="5"/>
        <v>#N/A</v>
      </c>
      <c r="BM21" s="120" t="e">
        <f t="shared" ca="1" si="6"/>
        <v>#N/A</v>
      </c>
      <c r="BN21" s="120" t="e">
        <f t="shared" ca="1" si="7"/>
        <v>#N/A</v>
      </c>
      <c r="BO21" s="120" t="e">
        <f t="shared" ca="1" si="8"/>
        <v>#N/A</v>
      </c>
    </row>
    <row r="22" spans="1:82" hidden="1">
      <c r="A22" t="s">
        <v>36</v>
      </c>
      <c r="B22" s="3" t="s">
        <v>836</v>
      </c>
      <c r="C22" s="106"/>
      <c r="D22" s="106"/>
      <c r="E22" s="106"/>
      <c r="F22" s="106"/>
      <c r="G22" s="108"/>
      <c r="H22" s="108"/>
      <c r="I22" s="10">
        <f t="shared" si="1"/>
        <v>0</v>
      </c>
      <c r="J22" s="8">
        <f t="shared" ca="1" si="2"/>
        <v>0</v>
      </c>
      <c r="K22" s="8">
        <f t="shared" ca="1" si="3"/>
        <v>0</v>
      </c>
      <c r="L22" s="8" t="e">
        <f ca="1">(IF(SUM($J22:K22)&gt;($H22-1),0,IF($G22=L$24,1,IF(SUM($J22:K22)=0,0,1))))*L$26</f>
        <v>#N/A</v>
      </c>
      <c r="M22" s="8" t="e">
        <f ca="1">(IF(SUM($J22:L22)&gt;($H22-1),0,IF($G22=M$24,1,IF(SUM($J22:L22)=0,0,1))))*M$26</f>
        <v>#N/A</v>
      </c>
      <c r="N22" s="8" t="e">
        <f ca="1">(IF(SUM($J22:M22)&gt;($H22-1),0,IF($G22=N$24,1,IF(SUM($J22:M22)=0,0,1))))*N$26</f>
        <v>#N/A</v>
      </c>
      <c r="O22" s="8" t="e">
        <f ca="1">(IF(SUM($J22:N22)&gt;($H22-1),0,IF($G22=O$24,1,IF(SUM($J22:N22)=0,0,1))))*O$26</f>
        <v>#N/A</v>
      </c>
      <c r="P22" s="8" t="e">
        <f ca="1">(IF(SUM($J22:O22)&gt;($H22-1),0,IF($G22=P$24,1,IF(SUM($J22:O22)=0,0,1))))*P$26</f>
        <v>#N/A</v>
      </c>
      <c r="Q22" s="8" t="e">
        <f ca="1">(IF(SUM($J22:P22)&gt;($H22-1),0,IF($G22=Q$24,1,IF(SUM($J22:P22)=0,0,1))))*Q$26</f>
        <v>#N/A</v>
      </c>
      <c r="R22" s="8" t="e">
        <f ca="1">(IF(SUM($J22:Q22)&gt;($H22-1),0,IF($G22=R$24,1,IF(SUM($J22:Q22)=0,0,1))))*R$26</f>
        <v>#N/A</v>
      </c>
      <c r="S22" s="8" t="e">
        <f ca="1">(IF(SUM($J22:R22)&gt;($H22-1),0,IF($G22=S$24,1,IF(SUM($J22:R22)=0,0,1))))*S$26</f>
        <v>#N/A</v>
      </c>
      <c r="T22" s="8" t="e">
        <f ca="1">(IF(SUM($J22:S22)&gt;($H22-1),0,IF($G22=T$24,1,IF(SUM($J22:S22)=0,0,1))))*T$26</f>
        <v>#N/A</v>
      </c>
      <c r="U22" s="8" t="e">
        <f ca="1">(IF(SUM($J22:T22)&gt;($H22-1),0,IF($G22=U$24,1,IF(SUM($J22:T22)=0,0,1))))*U$26</f>
        <v>#N/A</v>
      </c>
      <c r="V22" s="8" t="e">
        <f ca="1">(IF(SUM($J22:U22)&gt;($H22-1),0,IF($G22=V$24,1,IF(SUM($J22:U22)=0,0,1))))*V$26</f>
        <v>#N/A</v>
      </c>
      <c r="W22" s="8" t="e">
        <f ca="1">(IF(SUM($J22:V22)&gt;($H22-1),0,IF($G22=W$24,1,IF(SUM($J22:V22)=0,0,1))))*W$26</f>
        <v>#N/A</v>
      </c>
      <c r="X22" s="8" t="e">
        <f ca="1">(IF(SUM($J22:W22)&gt;($H22-1),0,IF($G22=X$24,1,IF(SUM($J22:W22)=0,0,1))))*X$26</f>
        <v>#N/A</v>
      </c>
      <c r="Y22" s="8" t="e">
        <f ca="1">(IF(SUM($J22:X22)&gt;($H22-1),0,IF($G22=Y$24,1,IF(SUM($J22:X22)=0,0,1))))*Y$26</f>
        <v>#N/A</v>
      </c>
      <c r="Z22" s="8" t="e">
        <f ca="1">(IF(SUM($J22:Y22)&gt;($H22-1),0,IF($G22=Z$24,1,IF(SUM($J22:Y22)=0,0,1))))*Z$26</f>
        <v>#N/A</v>
      </c>
      <c r="AA22" s="8" t="e">
        <f ca="1">(IF(SUM($J22:Z22)&gt;($H22-1),0,IF($G22=AA$24,1,IF(SUM($J22:Z22)=0,0,1))))*AA$26</f>
        <v>#N/A</v>
      </c>
      <c r="AB22" s="8" t="e">
        <f ca="1">(IF(SUM($J22:AA22)&gt;($H22-1),0,IF($G22=AB$24,1,IF(SUM($J22:AA22)=0,0,1))))*AB$26</f>
        <v>#N/A</v>
      </c>
      <c r="AC22" s="8" t="e">
        <f ca="1">(IF(SUM($J22:AB22)&gt;($H22-1),0,IF($G22=AC$24,1,IF(SUM($J22:AB22)=0,0,1))))*AC$26</f>
        <v>#N/A</v>
      </c>
      <c r="AD22" s="8" t="e">
        <f ca="1">(IF(SUM($J22:AC22)&gt;($H22-1),0,IF($G22=AD$24,1,IF(SUM($J22:AC22)=0,0,1))))*AD$26</f>
        <v>#N/A</v>
      </c>
      <c r="AE22" s="8" t="e">
        <f ca="1">(IF(SUM($J22:AD22)&gt;($H22-1),0,IF($G22=AE$24,1,IF(SUM($J22:AD22)=0,0,1))))*AE$26</f>
        <v>#N/A</v>
      </c>
      <c r="AF22" s="8" t="e">
        <f ca="1">(IF(SUM($J22:AE22)&gt;($H22-1),0,IF($G22=AF$24,1,IF(SUM($J22:AE22)=0,0,1))))*AF$26</f>
        <v>#N/A</v>
      </c>
      <c r="AG22" s="8" t="e">
        <f ca="1">(IF(SUM($J22:AF22)&gt;($H22-1),0,IF($G22=AG$24,1,IF(SUM($J22:AF22)=0,0,1))))*AG$26</f>
        <v>#N/A</v>
      </c>
      <c r="AH22" s="8" t="e">
        <f ca="1">(IF(SUM($J22:AG22)&gt;($H22-1),0,IF($G22=AH$24,1,IF(SUM($J22:AG22)=0,0,1))))*AH$26</f>
        <v>#N/A</v>
      </c>
      <c r="AI22" s="8" t="e">
        <f ca="1">(IF(SUM($J22:AH22)&gt;($H22-1),0,IF($G22=AI$24,1,IF(SUM($J22:AH22)=0,0,1))))*AI$26</f>
        <v>#N/A</v>
      </c>
      <c r="AJ22" s="8" t="e">
        <f ca="1">(IF(SUM($J22:AI22)&gt;($H22-1),0,IF($G22=AJ$24,1,IF(SUM($J22:AI22)=0,0,1))))*AJ$26</f>
        <v>#N/A</v>
      </c>
      <c r="AK22" s="8" t="e">
        <f ca="1">(IF(SUM($J22:AJ22)&gt;($H22-1),0,IF($G22=AK$24,1,IF(SUM($J22:AJ22)=0,0,1))))*AK$26</f>
        <v>#N/A</v>
      </c>
      <c r="AL22" s="8" t="e">
        <f ca="1">(IF(SUM($J22:AK22)&gt;($H22-1),0,IF($G22=AL$24,1,IF(SUM($J22:AK22)=0,0,1))))*AL$26</f>
        <v>#N/A</v>
      </c>
      <c r="AM22" s="8" t="e">
        <f ca="1">(IF(SUM($J22:AL22)&gt;($H22-1),0,IF($G22=AM$24,1,IF(SUM($J22:AL22)=0,0,1))))*AM$26</f>
        <v>#N/A</v>
      </c>
      <c r="AN22" s="8" t="e">
        <f ca="1">(IF(SUM($J22:AM22)&gt;($H22-1),0,IF($G22=AN$24,1,IF(SUM($J22:AM22)=0,0,1))))*AN$26</f>
        <v>#N/A</v>
      </c>
      <c r="AO22" s="8" t="e">
        <f ca="1">(IF(SUM($J22:AN22)&gt;($H22-1),0,IF($G22=AO$24,1,IF(SUM($J22:AN22)=0,0,1))))*AO$26</f>
        <v>#N/A</v>
      </c>
      <c r="AP22" s="8" t="e">
        <f ca="1">(IF(SUM($J22:AO22)&gt;($H22-1),0,IF($G22=AP$24,1,IF(SUM($J22:AO22)=0,0,1))))*AP$26</f>
        <v>#N/A</v>
      </c>
      <c r="AQ22" s="8" t="e">
        <f ca="1">(IF(SUM($J22:AP22)&gt;($H22-1),0,IF($G22=AQ$24,1,IF(SUM($J22:AP22)=0,0,1))))*AQ$26</f>
        <v>#N/A</v>
      </c>
      <c r="AR22" s="8" t="e">
        <f ca="1">(IF(SUM($J22:AQ22)&gt;($H22-1),0,IF($G22=AR$24,1,IF(SUM($J22:AQ22)=0,0,1))))*AR$26</f>
        <v>#N/A</v>
      </c>
      <c r="AS22" s="8" t="e">
        <f ca="1">(IF(SUM($J22:AR22)&gt;($H22-1),0,IF($G22=AS$24,1,IF(SUM($J22:AR22)=0,0,1))))*AS$26</f>
        <v>#N/A</v>
      </c>
      <c r="AT22" s="8" t="e">
        <f ca="1">(IF(SUM($J22:AS22)&gt;($H22-1),0,IF($G22=AT$24,1,IF(SUM($J22:AS22)=0,0,1))))*AT$26</f>
        <v>#N/A</v>
      </c>
      <c r="AU22" s="8" t="e">
        <f ca="1">(IF(SUM($J22:AT22)&gt;($H22-1),0,IF($G22=AU$24,1,IF(SUM($J22:AT22)=0,0,1))))*AU$26</f>
        <v>#N/A</v>
      </c>
      <c r="AV22" s="8" t="e">
        <f ca="1">(IF(SUM($J22:AU22)&gt;($H22-1),0,IF($G22=AV$24,1,IF(SUM($J22:AU22)=0,0,1))))*AV$26</f>
        <v>#N/A</v>
      </c>
      <c r="AW22" s="8" t="e">
        <f ca="1">(IF(SUM($J22:AV22)&gt;($H22-1),0,IF($G22=AW$24,1,IF(SUM($J22:AV22)=0,0,1))))*AW$26</f>
        <v>#N/A</v>
      </c>
      <c r="AX22" s="8" t="e">
        <f ca="1">(IF(SUM($J22:AW22)&gt;($H22-1),0,IF($G22=AX$24,1,IF(SUM($J22:AW22)=0,0,1))))*AX$26</f>
        <v>#N/A</v>
      </c>
      <c r="AY22" s="8" t="e">
        <f ca="1">(IF(SUM($J22:AX22)&gt;($H22-1),0,IF($G22=AY$24,1,IF(SUM($J22:AX22)=0,0,1))))*AY$26</f>
        <v>#N/A</v>
      </c>
      <c r="AZ22" s="8" t="e">
        <f ca="1">(IF(SUM($J22:AY22)&gt;($H22-1),0,IF($G22=AZ$24,1,IF(SUM($J22:AY22)=0,0,1))))*AZ$26</f>
        <v>#N/A</v>
      </c>
      <c r="BA22" s="8" t="e">
        <f ca="1">(IF(SUM($J22:AZ22)&gt;($H22-1),0,IF($G22=BA$24,1,IF(SUM($J22:AZ22)=0,0,1))))*BA$26</f>
        <v>#N/A</v>
      </c>
      <c r="BB22" s="8" t="e">
        <f ca="1">(IF(SUM($J22:BA22)&gt;($H22-1),0,IF($G22=BB$24,1,IF(SUM($J22:BA22)=0,0,1))))*BB$26</f>
        <v>#N/A</v>
      </c>
      <c r="BC22" s="8" t="e">
        <f ca="1">(IF(SUM($J22:BB22)&gt;($H22-1),0,IF($G22=BC$24,1,IF(SUM($J22:BB22)=0,0,1))))*BC$26</f>
        <v>#N/A</v>
      </c>
      <c r="BD22" s="8" t="e">
        <f ca="1">(IF(SUM($J22:BC22)&gt;($H22-1),0,IF($G22=BD$24,1,IF(SUM($J22:BC22)=0,0,1))))*BD$26</f>
        <v>#N/A</v>
      </c>
      <c r="BE22" s="8" t="e">
        <f ca="1">(IF(SUM($J22:BD22)&gt;($H22-1),0,IF($G22=BE$24,1,IF(SUM($J22:BD22)=0,0,1))))*BE$26</f>
        <v>#N/A</v>
      </c>
      <c r="BF22" s="119" t="str">
        <f>IF('1.G.Data'!C$14="","Alert: Fill Duration (months) on sheet 1. G.DATA",IF(G22="","",IF(H22&gt;BG22,$BJ$4,CONCATENATE($BI$10,BG22,$BI$11))))</f>
        <v/>
      </c>
      <c r="BG22" s="566">
        <f>IF(G22="",0,'1.G.Data'!C$14+1-'3.Tasks'!G22)</f>
        <v>0</v>
      </c>
      <c r="BK22" s="122" t="str">
        <f t="shared" si="4"/>
        <v>N/A</v>
      </c>
      <c r="BL22" s="120" t="e">
        <f t="shared" ca="1" si="5"/>
        <v>#N/A</v>
      </c>
      <c r="BM22" s="120" t="e">
        <f t="shared" ca="1" si="6"/>
        <v>#N/A</v>
      </c>
      <c r="BN22" s="120" t="e">
        <f t="shared" ca="1" si="7"/>
        <v>#N/A</v>
      </c>
      <c r="BO22" s="120" t="e">
        <f t="shared" ca="1" si="8"/>
        <v>#N/A</v>
      </c>
    </row>
    <row r="23" spans="1:82" hidden="1">
      <c r="A23" t="s">
        <v>37</v>
      </c>
      <c r="B23" s="3" t="s">
        <v>837</v>
      </c>
      <c r="C23" s="106"/>
      <c r="D23" s="106"/>
      <c r="E23" s="106"/>
      <c r="F23" s="106"/>
      <c r="G23" s="108"/>
      <c r="H23" s="108"/>
      <c r="I23" s="10">
        <f t="shared" si="1"/>
        <v>0</v>
      </c>
      <c r="J23" s="8">
        <f t="shared" ca="1" si="2"/>
        <v>0</v>
      </c>
      <c r="K23" s="8">
        <f t="shared" ca="1" si="3"/>
        <v>0</v>
      </c>
      <c r="L23" s="8" t="e">
        <f ca="1">(IF(SUM($J23:K23)&gt;($H23-1),0,IF($G23=L$24,1,IF(SUM($J23:K23)=0,0,1))))*L$26</f>
        <v>#N/A</v>
      </c>
      <c r="M23" s="8" t="e">
        <f ca="1">(IF(SUM($J23:L23)&gt;($H23-1),0,IF($G23=M$24,1,IF(SUM($J23:L23)=0,0,1))))*M$26</f>
        <v>#N/A</v>
      </c>
      <c r="N23" s="8" t="e">
        <f ca="1">(IF(SUM($J23:M23)&gt;($H23-1),0,IF($G23=N$24,1,IF(SUM($J23:M23)=0,0,1))))*N$26</f>
        <v>#N/A</v>
      </c>
      <c r="O23" s="8" t="e">
        <f ca="1">(IF(SUM($J23:N23)&gt;($H23-1),0,IF($G23=O$24,1,IF(SUM($J23:N23)=0,0,1))))*O$26</f>
        <v>#N/A</v>
      </c>
      <c r="P23" s="8" t="e">
        <f ca="1">(IF(SUM($J23:O23)&gt;($H23-1),0,IF($G23=P$24,1,IF(SUM($J23:O23)=0,0,1))))*P$26</f>
        <v>#N/A</v>
      </c>
      <c r="Q23" s="8" t="e">
        <f ca="1">(IF(SUM($J23:P23)&gt;($H23-1),0,IF($G23=Q$24,1,IF(SUM($J23:P23)=0,0,1))))*Q$26</f>
        <v>#N/A</v>
      </c>
      <c r="R23" s="8" t="e">
        <f ca="1">(IF(SUM($J23:Q23)&gt;($H23-1),0,IF($G23=R$24,1,IF(SUM($J23:Q23)=0,0,1))))*R$26</f>
        <v>#N/A</v>
      </c>
      <c r="S23" s="8" t="e">
        <f ca="1">(IF(SUM($J23:R23)&gt;($H23-1),0,IF($G23=S$24,1,IF(SUM($J23:R23)=0,0,1))))*S$26</f>
        <v>#N/A</v>
      </c>
      <c r="T23" s="8" t="e">
        <f ca="1">(IF(SUM($J23:S23)&gt;($H23-1),0,IF($G23=T$24,1,IF(SUM($J23:S23)=0,0,1))))*T$26</f>
        <v>#N/A</v>
      </c>
      <c r="U23" s="8" t="e">
        <f ca="1">(IF(SUM($J23:T23)&gt;($H23-1),0,IF($G23=U$24,1,IF(SUM($J23:T23)=0,0,1))))*U$26</f>
        <v>#N/A</v>
      </c>
      <c r="V23" s="8" t="e">
        <f ca="1">(IF(SUM($J23:U23)&gt;($H23-1),0,IF($G23=V$24,1,IF(SUM($J23:U23)=0,0,1))))*V$26</f>
        <v>#N/A</v>
      </c>
      <c r="W23" s="8" t="e">
        <f ca="1">(IF(SUM($J23:V23)&gt;($H23-1),0,IF($G23=W$24,1,IF(SUM($J23:V23)=0,0,1))))*W$26</f>
        <v>#N/A</v>
      </c>
      <c r="X23" s="8" t="e">
        <f ca="1">(IF(SUM($J23:W23)&gt;($H23-1),0,IF($G23=X$24,1,IF(SUM($J23:W23)=0,0,1))))*X$26</f>
        <v>#N/A</v>
      </c>
      <c r="Y23" s="8" t="e">
        <f ca="1">(IF(SUM($J23:X23)&gt;($H23-1),0,IF($G23=Y$24,1,IF(SUM($J23:X23)=0,0,1))))*Y$26</f>
        <v>#N/A</v>
      </c>
      <c r="Z23" s="8" t="e">
        <f ca="1">(IF(SUM($J23:Y23)&gt;($H23-1),0,IF($G23=Z$24,1,IF(SUM($J23:Y23)=0,0,1))))*Z$26</f>
        <v>#N/A</v>
      </c>
      <c r="AA23" s="8" t="e">
        <f ca="1">(IF(SUM($J23:Z23)&gt;($H23-1),0,IF($G23=AA$24,1,IF(SUM($J23:Z23)=0,0,1))))*AA$26</f>
        <v>#N/A</v>
      </c>
      <c r="AB23" s="8" t="e">
        <f ca="1">(IF(SUM($J23:AA23)&gt;($H23-1),0,IF($G23=AB$24,1,IF(SUM($J23:AA23)=0,0,1))))*AB$26</f>
        <v>#N/A</v>
      </c>
      <c r="AC23" s="8" t="e">
        <f ca="1">(IF(SUM($J23:AB23)&gt;($H23-1),0,IF($G23=AC$24,1,IF(SUM($J23:AB23)=0,0,1))))*AC$26</f>
        <v>#N/A</v>
      </c>
      <c r="AD23" s="8" t="e">
        <f ca="1">(IF(SUM($J23:AC23)&gt;($H23-1),0,IF($G23=AD$24,1,IF(SUM($J23:AC23)=0,0,1))))*AD$26</f>
        <v>#N/A</v>
      </c>
      <c r="AE23" s="8" t="e">
        <f ca="1">(IF(SUM($J23:AD23)&gt;($H23-1),0,IF($G23=AE$24,1,IF(SUM($J23:AD23)=0,0,1))))*AE$26</f>
        <v>#N/A</v>
      </c>
      <c r="AF23" s="8" t="e">
        <f ca="1">(IF(SUM($J23:AE23)&gt;($H23-1),0,IF($G23=AF$24,1,IF(SUM($J23:AE23)=0,0,1))))*AF$26</f>
        <v>#N/A</v>
      </c>
      <c r="AG23" s="8" t="e">
        <f ca="1">(IF(SUM($J23:AF23)&gt;($H23-1),0,IF($G23=AG$24,1,IF(SUM($J23:AF23)=0,0,1))))*AG$26</f>
        <v>#N/A</v>
      </c>
      <c r="AH23" s="8" t="e">
        <f ca="1">(IF(SUM($J23:AG23)&gt;($H23-1),0,IF($G23=AH$24,1,IF(SUM($J23:AG23)=0,0,1))))*AH$26</f>
        <v>#N/A</v>
      </c>
      <c r="AI23" s="8" t="e">
        <f ca="1">(IF(SUM($J23:AH23)&gt;($H23-1),0,IF($G23=AI$24,1,IF(SUM($J23:AH23)=0,0,1))))*AI$26</f>
        <v>#N/A</v>
      </c>
      <c r="AJ23" s="8" t="e">
        <f ca="1">(IF(SUM($J23:AI23)&gt;($H23-1),0,IF($G23=AJ$24,1,IF(SUM($J23:AI23)=0,0,1))))*AJ$26</f>
        <v>#N/A</v>
      </c>
      <c r="AK23" s="8" t="e">
        <f ca="1">(IF(SUM($J23:AJ23)&gt;($H23-1),0,IF($G23=AK$24,1,IF(SUM($J23:AJ23)=0,0,1))))*AK$26</f>
        <v>#N/A</v>
      </c>
      <c r="AL23" s="8" t="e">
        <f ca="1">(IF(SUM($J23:AK23)&gt;($H23-1),0,IF($G23=AL$24,1,IF(SUM($J23:AK23)=0,0,1))))*AL$26</f>
        <v>#N/A</v>
      </c>
      <c r="AM23" s="8" t="e">
        <f ca="1">(IF(SUM($J23:AL23)&gt;($H23-1),0,IF($G23=AM$24,1,IF(SUM($J23:AL23)=0,0,1))))*AM$26</f>
        <v>#N/A</v>
      </c>
      <c r="AN23" s="8" t="e">
        <f ca="1">(IF(SUM($J23:AM23)&gt;($H23-1),0,IF($G23=AN$24,1,IF(SUM($J23:AM23)=0,0,1))))*AN$26</f>
        <v>#N/A</v>
      </c>
      <c r="AO23" s="8" t="e">
        <f ca="1">(IF(SUM($J23:AN23)&gt;($H23-1),0,IF($G23=AO$24,1,IF(SUM($J23:AN23)=0,0,1))))*AO$26</f>
        <v>#N/A</v>
      </c>
      <c r="AP23" s="8" t="e">
        <f ca="1">(IF(SUM($J23:AO23)&gt;($H23-1),0,IF($G23=AP$24,1,IF(SUM($J23:AO23)=0,0,1))))*AP$26</f>
        <v>#N/A</v>
      </c>
      <c r="AQ23" s="8" t="e">
        <f ca="1">(IF(SUM($J23:AP23)&gt;($H23-1),0,IF($G23=AQ$24,1,IF(SUM($J23:AP23)=0,0,1))))*AQ$26</f>
        <v>#N/A</v>
      </c>
      <c r="AR23" s="8" t="e">
        <f ca="1">(IF(SUM($J23:AQ23)&gt;($H23-1),0,IF($G23=AR$24,1,IF(SUM($J23:AQ23)=0,0,1))))*AR$26</f>
        <v>#N/A</v>
      </c>
      <c r="AS23" s="8" t="e">
        <f ca="1">(IF(SUM($J23:AR23)&gt;($H23-1),0,IF($G23=AS$24,1,IF(SUM($J23:AR23)=0,0,1))))*AS$26</f>
        <v>#N/A</v>
      </c>
      <c r="AT23" s="8" t="e">
        <f ca="1">(IF(SUM($J23:AS23)&gt;($H23-1),0,IF($G23=AT$24,1,IF(SUM($J23:AS23)=0,0,1))))*AT$26</f>
        <v>#N/A</v>
      </c>
      <c r="AU23" s="8" t="e">
        <f ca="1">(IF(SUM($J23:AT23)&gt;($H23-1),0,IF($G23=AU$24,1,IF(SUM($J23:AT23)=0,0,1))))*AU$26</f>
        <v>#N/A</v>
      </c>
      <c r="AV23" s="8" t="e">
        <f ca="1">(IF(SUM($J23:AU23)&gt;($H23-1),0,IF($G23=AV$24,1,IF(SUM($J23:AU23)=0,0,1))))*AV$26</f>
        <v>#N/A</v>
      </c>
      <c r="AW23" s="8" t="e">
        <f ca="1">(IF(SUM($J23:AV23)&gt;($H23-1),0,IF($G23=AW$24,1,IF(SUM($J23:AV23)=0,0,1))))*AW$26</f>
        <v>#N/A</v>
      </c>
      <c r="AX23" s="8" t="e">
        <f ca="1">(IF(SUM($J23:AW23)&gt;($H23-1),0,IF($G23=AX$24,1,IF(SUM($J23:AW23)=0,0,1))))*AX$26</f>
        <v>#N/A</v>
      </c>
      <c r="AY23" s="8" t="e">
        <f ca="1">(IF(SUM($J23:AX23)&gt;($H23-1),0,IF($G23=AY$24,1,IF(SUM($J23:AX23)=0,0,1))))*AY$26</f>
        <v>#N/A</v>
      </c>
      <c r="AZ23" s="8" t="e">
        <f ca="1">(IF(SUM($J23:AY23)&gt;($H23-1),0,IF($G23=AZ$24,1,IF(SUM($J23:AY23)=0,0,1))))*AZ$26</f>
        <v>#N/A</v>
      </c>
      <c r="BA23" s="8" t="e">
        <f ca="1">(IF(SUM($J23:AZ23)&gt;($H23-1),0,IF($G23=BA$24,1,IF(SUM($J23:AZ23)=0,0,1))))*BA$26</f>
        <v>#N/A</v>
      </c>
      <c r="BB23" s="8" t="e">
        <f ca="1">(IF(SUM($J23:BA23)&gt;($H23-1),0,IF($G23=BB$24,1,IF(SUM($J23:BA23)=0,0,1))))*BB$26</f>
        <v>#N/A</v>
      </c>
      <c r="BC23" s="8" t="e">
        <f ca="1">(IF(SUM($J23:BB23)&gt;($H23-1),0,IF($G23=BC$24,1,IF(SUM($J23:BB23)=0,0,1))))*BC$26</f>
        <v>#N/A</v>
      </c>
      <c r="BD23" s="8" t="e">
        <f ca="1">(IF(SUM($J23:BC23)&gt;($H23-1),0,IF($G23=BD$24,1,IF(SUM($J23:BC23)=0,0,1))))*BD$26</f>
        <v>#N/A</v>
      </c>
      <c r="BE23" s="8" t="e">
        <f ca="1">(IF(SUM($J23:BD23)&gt;($H23-1),0,IF($G23=BE$24,1,IF(SUM($J23:BD23)=0,0,1))))*BE$26</f>
        <v>#N/A</v>
      </c>
      <c r="BF23" s="119" t="str">
        <f>IF('1.G.Data'!C$14="","Alert: Fill Duration (months) on sheet 1. G.DATA",IF(G23="","",IF(H23&gt;BG23,$BJ$4,CONCATENATE($BI$10,BG23,$BI$11))))</f>
        <v/>
      </c>
      <c r="BG23" s="566">
        <f>IF(G23="",0,'1.G.Data'!C$14+1-'3.Tasks'!G23)</f>
        <v>0</v>
      </c>
      <c r="BK23" s="122" t="str">
        <f t="shared" si="4"/>
        <v>N/A</v>
      </c>
      <c r="BL23" s="120" t="e">
        <f t="shared" ca="1" si="5"/>
        <v>#N/A</v>
      </c>
      <c r="BM23" s="120" t="e">
        <f t="shared" ca="1" si="6"/>
        <v>#N/A</v>
      </c>
      <c r="BN23" s="120" t="e">
        <f t="shared" ca="1" si="7"/>
        <v>#N/A</v>
      </c>
      <c r="BO23" s="120" t="e">
        <f t="shared" ca="1" si="8"/>
        <v>#N/A</v>
      </c>
    </row>
    <row r="24" spans="1:82" s="4" customFormat="1" ht="16.399999999999999" hidden="1" customHeight="1">
      <c r="B24" s="11"/>
      <c r="I24" s="5"/>
      <c r="J24" s="6">
        <f ca="1">IF(MONTH(F25)=1,1,0)</f>
        <v>0</v>
      </c>
      <c r="K24" s="6">
        <f ca="1">IF(MONTH(F25)=2,1,IF(J24=1,2,0))</f>
        <v>0</v>
      </c>
      <c r="L24" s="6" t="e">
        <f ca="1">IF(SUM($J24:K24)&gt;($G$26-1),0,IF(K24=K25,L25,IF(MONTH($F$25)=L$25,1,IF(SUM($J24:K24)=0,0,(K24+1)))))</f>
        <v>#N/A</v>
      </c>
      <c r="M24" s="6" t="e">
        <f ca="1">IF(SUM($J24:L24)&gt;($G$26-1),0,IF(L24=L25,M25,IF(MONTH($F$25)=M$25,1,IF(SUM($J24:L24)=0,0,(L24+1)))))</f>
        <v>#N/A</v>
      </c>
      <c r="N24" s="6" t="e">
        <f ca="1">IF(SUM($J24:M24)&gt;($G$26-1),0,IF(M24=M25,N25,IF(MONTH($F$25)=N$25,1,IF(SUM($J24:M24)=0,0,(M24+1)))))</f>
        <v>#N/A</v>
      </c>
      <c r="O24" s="6" t="e">
        <f ca="1">IF(SUM($J24:N24)&gt;($G$26-1),0,IF(N24=N25,O25,IF(MONTH($F$25)=O$25,1,IF(SUM($J24:N24)=0,0,(N24+1)))))</f>
        <v>#N/A</v>
      </c>
      <c r="P24" s="6" t="e">
        <f ca="1">IF(SUM($J24:O24)&gt;($G$26-1),0,IF(O24=O25,P25,IF(MONTH($F$25)=P$25,1,IF(SUM($J24:O24)=0,0,(O24+1)))))</f>
        <v>#N/A</v>
      </c>
      <c r="Q24" s="6" t="e">
        <f ca="1">IF(SUM($J24:P24)&gt;($G$26-1),0,IF(P24=P25,Q25,IF(MONTH($F$25)=Q$25,1,IF(SUM($J24:P24)=0,0,(P24+1)))))</f>
        <v>#N/A</v>
      </c>
      <c r="R24" s="6" t="e">
        <f ca="1">IF(SUM($J24:Q24)&gt;($G$26-1),0,IF(Q24=Q25,R25,IF(MONTH($F$25)=R$25,1,IF(SUM($J24:Q24)=0,0,(Q24+1)))))</f>
        <v>#N/A</v>
      </c>
      <c r="S24" s="6" t="e">
        <f ca="1">IF(SUM($J24:R24)&gt;($G$26-1),0,IF(R24=R25,S25,IF(MONTH($F$25)=S$25,1,IF(SUM($J24:R24)=0,0,(R24+1)))))</f>
        <v>#N/A</v>
      </c>
      <c r="T24" s="6" t="e">
        <f ca="1">IF(SUM($J24:S24)&gt;($G$26-1),0,IF(S24=S25,T25,IF(MONTH($F$25)=T$25,1,IF(SUM($J24:S24)=0,0,(S24+1)))))</f>
        <v>#N/A</v>
      </c>
      <c r="U24" s="6" t="e">
        <f ca="1">IF(SUM($J24:T24)&gt;($G$26-1),0,IF(T24=T25,U25,IF(MONTH($F$25)=U$25,1,IF(SUM($J24:T24)=0,0,(T24+1)))))</f>
        <v>#N/A</v>
      </c>
      <c r="V24" s="6" t="e">
        <f ca="1">IF(SUM($J24:U24)&gt;($G$26-1),0,IF(U24=U25,V25,IF(MONTH($F$25)=V$25,1,IF(SUM($J24:U24)=0,0,(U24+1)))))</f>
        <v>#N/A</v>
      </c>
      <c r="W24" s="6" t="e">
        <f ca="1">IF(SUM($J24:V24)&gt;($G$26-1),0,IF(V24=V25,W25,IF(MONTH($F$25)=W$25,1,IF(SUM($J24:V24)=0,0,(V24+1)))))</f>
        <v>#N/A</v>
      </c>
      <c r="X24" s="6" t="e">
        <f ca="1">IF(SUM($J24:W24)&gt;($G$26-1),0,IF(W24=W25,X25,IF(MONTH($F$25)=X$25,1,IF(SUM($J24:W24)=0,0,(W24+1)))))</f>
        <v>#N/A</v>
      </c>
      <c r="Y24" s="6" t="e">
        <f ca="1">IF(SUM($J24:X24)&gt;($G$26-1),0,IF(X24=X25,Y25,IF(MONTH($F$25)=Y$25,1,IF(SUM($J24:X24)=0,0,(X24+1)))))</f>
        <v>#N/A</v>
      </c>
      <c r="Z24" s="6" t="e">
        <f ca="1">IF(SUM($J24:Y24)&gt;($G$26-1),0,IF(Y24=Y25,Z25,IF(MONTH($F$25)=Z$25,1,IF(SUM($J24:Y24)=0,0,(Y24+1)))))</f>
        <v>#N/A</v>
      </c>
      <c r="AA24" s="6" t="e">
        <f ca="1">IF(SUM($J24:Z24)&gt;($G$26-1),0,IF(Z24=Z25,AA25,IF(MONTH($F$25)=AA$25,1,IF(SUM($J24:Z24)=0,0,(Z24+1)))))</f>
        <v>#N/A</v>
      </c>
      <c r="AB24" s="6" t="e">
        <f ca="1">IF(SUM($J24:AA24)&gt;($G$26-1),0,IF(AA24=AA25,AB25,IF(MONTH($F$25)=AB$25,1,IF(SUM($J24:AA24)=0,0,(AA24+1)))))</f>
        <v>#N/A</v>
      </c>
      <c r="AC24" s="6" t="e">
        <f ca="1">IF(SUM($J24:AB24)&gt;($G$26-1),0,IF(AB24=AB25,AC25,IF(MONTH($F$25)=AC$25,1,IF(SUM($J24:AB24)=0,0,(AB24+1)))))</f>
        <v>#N/A</v>
      </c>
      <c r="AD24" s="6" t="e">
        <f ca="1">IF(SUM($J24:AC24)&gt;($G$26-1),0,IF(AC24=AC25,AD25,IF(MONTH($F$25)=AD$25,1,IF(SUM($J24:AC24)=0,0,(AC24+1)))))</f>
        <v>#N/A</v>
      </c>
      <c r="AE24" s="6" t="e">
        <f ca="1">IF(SUM($J24:AD24)&gt;($G$26-1),0,IF(AD24=AD25,AE25,IF(MONTH($F$25)=AE$25,1,IF(SUM($J24:AD24)=0,0,(AD24+1)))))</f>
        <v>#N/A</v>
      </c>
      <c r="AF24" s="6" t="e">
        <f ca="1">IF(SUM($J24:AE24)&gt;($G$26-1),0,IF(AE24=AE25,AF25,IF(MONTH($F$25)=AF$25,1,IF(SUM($J24:AE24)=0,0,(AE24+1)))))</f>
        <v>#N/A</v>
      </c>
      <c r="AG24" s="6" t="e">
        <f ca="1">IF(SUM($J24:AF24)&gt;($G$26-1),0,IF(AF24=AF25,AG25,IF(MONTH($F$25)=AG$25,1,IF(SUM($J24:AF24)=0,0,(AF24+1)))))</f>
        <v>#N/A</v>
      </c>
      <c r="AH24" s="6" t="e">
        <f ca="1">IF(SUM($J24:AG24)&gt;($G$26-1),0,IF(AG24=AG25,AH25,IF(MONTH($F$25)=AH$25,1,IF(SUM($J24:AG24)=0,0,(AG24+1)))))</f>
        <v>#N/A</v>
      </c>
      <c r="AI24" s="6" t="e">
        <f ca="1">IF(SUM($J24:AH24)&gt;($G$26-1),0,IF(AH24=AH25,AI25,IF(MONTH($F$25)=AI$25,1,IF(SUM($J24:AH24)=0,0,(AH24+1)))))</f>
        <v>#N/A</v>
      </c>
      <c r="AJ24" s="6" t="e">
        <f ca="1">IF(SUM($J24:AI24)&gt;($G$26-1),0,IF(AI24=AI25,AJ25,IF(MONTH($F$25)=AJ$25,1,IF(SUM($J24:AI24)=0,0,(AI24+1)))))</f>
        <v>#N/A</v>
      </c>
      <c r="AK24" s="6" t="e">
        <f ca="1">IF(SUM($J24:AJ24)&gt;($G$26-1),0,IF(AJ24=AJ25,AK25,IF(MONTH($F$25)=AK$25,1,IF(SUM($J24:AJ24)=0,0,(AJ24+1)))))</f>
        <v>#N/A</v>
      </c>
      <c r="AL24" s="6" t="e">
        <f ca="1">IF(SUM($J24:AK24)&gt;($G$26-1),0,IF(AK24=AK25,AL25,IF(MONTH($F$25)=AL$25,1,IF(SUM($J24:AK24)=0,0,(AK24+1)))))</f>
        <v>#N/A</v>
      </c>
      <c r="AM24" s="6" t="e">
        <f ca="1">IF(SUM($J24:AL24)&gt;($G$26-1),0,IF(AL24=AL25,AM25,IF(MONTH($F$25)=AM$25,1,IF(SUM($J24:AL24)=0,0,(AL24+1)))))</f>
        <v>#N/A</v>
      </c>
      <c r="AN24" s="6" t="e">
        <f ca="1">IF(SUM($J24:AM24)&gt;($G$26-1),0,IF(AM24=AM25,AN25,IF(MONTH($F$25)=AN$25,1,IF(SUM($J24:AM24)=0,0,(AM24+1)))))</f>
        <v>#N/A</v>
      </c>
      <c r="AO24" s="6" t="e">
        <f ca="1">IF(SUM($J24:AN24)&gt;($G$26-1),0,IF(AN24=AN25,AO25,IF(MONTH($F$25)=AO$25,1,IF(SUM($J24:AN24)=0,0,(AN24+1)))))</f>
        <v>#N/A</v>
      </c>
      <c r="AP24" s="6" t="e">
        <f ca="1">IF(SUM($J24:AO24)&gt;($G$26-1),0,IF(AO24=AO25,AP25,IF(MONTH($F$25)=AP$25,1,IF(SUM($J24:AO24)=0,0,(AO24+1)))))</f>
        <v>#N/A</v>
      </c>
      <c r="AQ24" s="6" t="e">
        <f ca="1">IF(SUM($J24:AP24)&gt;($G$26-1),0,IF(AP24=AP25,AQ25,IF(MONTH($F$25)=AQ$25,1,IF(SUM($J24:AP24)=0,0,(AP24+1)))))</f>
        <v>#N/A</v>
      </c>
      <c r="AR24" s="6" t="e">
        <f ca="1">IF(SUM($J24:AQ24)&gt;($G$26-1),0,IF(AQ24=AQ25,AR25,IF(MONTH($F$25)=AR$25,1,IF(SUM($J24:AQ24)=0,0,(AQ24+1)))))</f>
        <v>#N/A</v>
      </c>
      <c r="AS24" s="6" t="e">
        <f ca="1">IF(SUM($J24:AR24)&gt;($G$26-1),0,IF(AR24=AR25,AS25,IF(MONTH($F$25)=AS$25,1,IF(SUM($J24:AR24)=0,0,(AR24+1)))))</f>
        <v>#N/A</v>
      </c>
      <c r="AT24" s="6" t="e">
        <f ca="1">IF(SUM($J24:AS24)&gt;($G$26-1),0,IF(AS24=AS25,AT25,IF(MONTH($F$25)=AT$25,1,IF(SUM($J24:AS24)=0,0,(AS24+1)))))</f>
        <v>#N/A</v>
      </c>
      <c r="AU24" s="6" t="e">
        <f ca="1">IF(SUM($J24:AT24)&gt;($G$26-1),0,IF(AT24=AT25,AU25,IF(MONTH($F$25)=AU$25,1,IF(SUM($J24:AT24)=0,0,(AT24+1)))))</f>
        <v>#N/A</v>
      </c>
      <c r="AV24" s="6" t="e">
        <f ca="1">IF(SUM($J24:AU24)&gt;($G$26-1),0,IF(AU24=AU25,AV25,IF(MONTH($F$25)=AV$25,1,IF(SUM($J24:AU24)=0,0,(AU24+1)))))</f>
        <v>#N/A</v>
      </c>
      <c r="AW24" s="6" t="e">
        <f ca="1">IF(SUM($J24:AV24)&gt;($G$26-1),0,IF(AV24=AV25,AW25,IF(MONTH($F$25)=AW$25,1,IF(SUM($J24:AV24)=0,0,(AV24+1)))))</f>
        <v>#N/A</v>
      </c>
      <c r="AX24" s="6" t="e">
        <f ca="1">IF(SUM($J24:AW24)&gt;($G$26-1),0,IF(AW24=AW25,AX25,IF(MONTH($F$25)=AX$25,1,IF(SUM($J24:AW24)=0,0,(AW24+1)))))</f>
        <v>#N/A</v>
      </c>
      <c r="AY24" s="6" t="e">
        <f ca="1">IF(SUM($J24:AX24)&gt;($G$26-1),0,IF(AX24=AX25,AY25,IF(MONTH($F$25)=AY$25,1,IF(SUM($J24:AX24)=0,0,(AX24+1)))))</f>
        <v>#N/A</v>
      </c>
      <c r="AZ24" s="6" t="e">
        <f ca="1">IF(SUM($J24:AY24)&gt;($G$26-1),0,IF(AY24=AY25,AZ25,IF(MONTH($F$25)=AZ$25,1,IF(SUM($J24:AY24)=0,0,(AY24+1)))))</f>
        <v>#N/A</v>
      </c>
      <c r="BA24" s="6" t="e">
        <f ca="1">IF(SUM($J24:AZ24)&gt;($G$26-1),0,IF(AZ24=AZ25,BA25,IF(MONTH($F$25)=BA$25,1,IF(SUM($J24:AZ24)=0,0,(AZ24+1)))))</f>
        <v>#N/A</v>
      </c>
      <c r="BB24" s="6" t="e">
        <f ca="1">IF(SUM($J24:BA24)&gt;($G$26-1),0,IF(BA24=BA25,BB25,IF(MONTH($F$25)=BB$25,1,IF(SUM($J24:BA24)=0,0,(BA24+1)))))</f>
        <v>#N/A</v>
      </c>
      <c r="BC24" s="6" t="e">
        <f ca="1">IF(SUM($J24:BB24)&gt;($G$26-1),0,IF(BB24=BB25,BC25,IF(MONTH($F$25)=BC$25,1,IF(SUM($J24:BB24)=0,0,(BB24+1)))))</f>
        <v>#N/A</v>
      </c>
      <c r="BD24" s="6" t="e">
        <f ca="1">IF(SUM($J24:BC24)&gt;($G$26-1),0,IF(BC24=BC25,BD25,IF(MONTH($F$25)=BD$25,1,IF(SUM($J24:BC24)=0,0,(BC24+1)))))</f>
        <v>#N/A</v>
      </c>
      <c r="BE24" s="6" t="e">
        <f ca="1">IF(SUM($J24:BD24)&gt;($G$26-1),0,IF(BD24=BD25,BE25,IF(MONTH($F$25)=BE$25,1,IF(SUM($J24:BD24)=0,0,(BD24+1)))))</f>
        <v>#N/A</v>
      </c>
      <c r="BF24" s="111"/>
      <c r="BG24" s="122"/>
      <c r="BH24" s="122"/>
      <c r="BI24" s="122"/>
      <c r="BJ24" s="122"/>
      <c r="BK24" s="122"/>
      <c r="BL24" s="120" t="e">
        <f t="shared" ca="1" si="5"/>
        <v>#N/A</v>
      </c>
      <c r="BM24" s="120" t="e">
        <f t="shared" ca="1" si="6"/>
        <v>#N/A</v>
      </c>
      <c r="BN24" s="120" t="e">
        <f t="shared" ca="1" si="7"/>
        <v>#N/A</v>
      </c>
      <c r="BO24" s="120" t="e">
        <f t="shared" ca="1" si="8"/>
        <v>#N/A</v>
      </c>
      <c r="BP24" s="120"/>
      <c r="BQ24" s="120"/>
      <c r="BR24" s="120"/>
      <c r="BS24" s="120"/>
      <c r="BT24" s="120"/>
      <c r="BU24" s="120"/>
      <c r="BV24" s="120"/>
      <c r="BW24" s="120"/>
      <c r="BX24" s="120"/>
      <c r="BY24" s="120"/>
      <c r="BZ24" s="120"/>
      <c r="CA24" s="120"/>
      <c r="CB24" s="120"/>
      <c r="CC24" s="122"/>
      <c r="CD24" s="122"/>
    </row>
    <row r="25" spans="1:82" s="4" customFormat="1" hidden="1">
      <c r="B25" s="11"/>
      <c r="E25" s="4" t="s">
        <v>10</v>
      </c>
      <c r="F25" s="9">
        <f ca="1">IF('1.G.Data'!C13="",TODAY(),'1.G.Data'!C13)</f>
        <v>46083</v>
      </c>
      <c r="H25" s="4" t="s">
        <v>76</v>
      </c>
      <c r="I25" s="5"/>
      <c r="J25" s="7">
        <v>1</v>
      </c>
      <c r="K25" s="7">
        <v>2</v>
      </c>
      <c r="L25" s="7">
        <v>3</v>
      </c>
      <c r="M25" s="7">
        <v>4</v>
      </c>
      <c r="N25" s="7">
        <v>5</v>
      </c>
      <c r="O25" s="7">
        <v>6</v>
      </c>
      <c r="P25" s="7">
        <v>7</v>
      </c>
      <c r="Q25" s="7">
        <v>8</v>
      </c>
      <c r="R25" s="7">
        <v>9</v>
      </c>
      <c r="S25" s="7">
        <v>10</v>
      </c>
      <c r="T25" s="7">
        <v>11</v>
      </c>
      <c r="U25" s="7">
        <v>12</v>
      </c>
      <c r="V25" s="7">
        <v>13</v>
      </c>
      <c r="W25" s="7">
        <v>14</v>
      </c>
      <c r="X25" s="7">
        <v>15</v>
      </c>
      <c r="Y25" s="7">
        <v>16</v>
      </c>
      <c r="Z25" s="7">
        <v>17</v>
      </c>
      <c r="AA25" s="7">
        <v>18</v>
      </c>
      <c r="AB25" s="7">
        <v>19</v>
      </c>
      <c r="AC25" s="7">
        <v>20</v>
      </c>
      <c r="AD25" s="7">
        <v>21</v>
      </c>
      <c r="AE25" s="7">
        <v>22</v>
      </c>
      <c r="AF25" s="7">
        <v>23</v>
      </c>
      <c r="AG25" s="7">
        <v>24</v>
      </c>
      <c r="AH25" s="7">
        <v>25</v>
      </c>
      <c r="AI25" s="7">
        <v>26</v>
      </c>
      <c r="AJ25" s="7">
        <v>27</v>
      </c>
      <c r="AK25" s="7">
        <v>28</v>
      </c>
      <c r="AL25" s="7">
        <v>29</v>
      </c>
      <c r="AM25" s="7">
        <v>30</v>
      </c>
      <c r="AN25" s="7">
        <v>31</v>
      </c>
      <c r="AO25" s="7">
        <v>32</v>
      </c>
      <c r="AP25" s="7">
        <v>33</v>
      </c>
      <c r="AQ25" s="7">
        <v>34</v>
      </c>
      <c r="AR25" s="7">
        <v>35</v>
      </c>
      <c r="AS25" s="7">
        <v>36</v>
      </c>
      <c r="AT25" s="7">
        <v>37</v>
      </c>
      <c r="AU25" s="7">
        <v>38</v>
      </c>
      <c r="AV25" s="7">
        <v>39</v>
      </c>
      <c r="AW25" s="7">
        <v>40</v>
      </c>
      <c r="AX25" s="7">
        <v>41</v>
      </c>
      <c r="AY25" s="7">
        <v>42</v>
      </c>
      <c r="AZ25" s="7">
        <v>43</v>
      </c>
      <c r="BA25" s="7">
        <v>44</v>
      </c>
      <c r="BB25" s="7">
        <v>45</v>
      </c>
      <c r="BC25" s="7">
        <v>46</v>
      </c>
      <c r="BD25" s="7">
        <v>47</v>
      </c>
      <c r="BE25" s="7">
        <v>48</v>
      </c>
      <c r="BF25" s="111"/>
      <c r="BG25" s="122"/>
      <c r="BH25" s="122"/>
      <c r="BI25" s="122"/>
      <c r="BJ25" s="122"/>
      <c r="BK25" s="122"/>
      <c r="BL25" s="120">
        <f t="shared" si="5"/>
        <v>78</v>
      </c>
      <c r="BM25" s="120">
        <f t="shared" si="6"/>
        <v>222</v>
      </c>
      <c r="BN25" s="120">
        <f t="shared" si="7"/>
        <v>366</v>
      </c>
      <c r="BO25" s="120">
        <f t="shared" si="8"/>
        <v>510</v>
      </c>
      <c r="BP25" s="120"/>
      <c r="BQ25" s="120"/>
      <c r="BR25" s="120"/>
      <c r="BS25" s="120"/>
      <c r="BT25" s="120"/>
      <c r="BU25" s="120"/>
      <c r="BV25" s="120"/>
      <c r="BW25" s="120"/>
      <c r="BX25" s="120"/>
      <c r="BY25" s="120"/>
      <c r="BZ25" s="120"/>
      <c r="CA25" s="120"/>
      <c r="CB25" s="120"/>
      <c r="CC25" s="122"/>
      <c r="CD25" s="122"/>
    </row>
    <row r="26" spans="1:82" hidden="1">
      <c r="B26" s="11"/>
      <c r="E26" t="s">
        <v>890</v>
      </c>
      <c r="F26" s="441">
        <f>+'1.G.Data'!C14</f>
        <v>0</v>
      </c>
      <c r="G26" t="e">
        <f>HLOOKUP(F26,J25:BE27,3,0)</f>
        <v>#N/A</v>
      </c>
      <c r="I26" s="5"/>
      <c r="J26" s="7">
        <f ca="1">IF(J24=0,0,1)</f>
        <v>0</v>
      </c>
      <c r="K26" s="7">
        <f ca="1">IF(K24=0,0,1)</f>
        <v>0</v>
      </c>
      <c r="L26" s="7" t="e">
        <f ca="1">IF(L24=0,0,1)</f>
        <v>#N/A</v>
      </c>
      <c r="M26" s="7" t="e">
        <f ca="1">IF(M24=0,0,1)</f>
        <v>#N/A</v>
      </c>
      <c r="N26" s="7" t="e">
        <f t="shared" ref="N26:AS26" ca="1" si="9">IF(N24=0,0,1)</f>
        <v>#N/A</v>
      </c>
      <c r="O26" s="7" t="e">
        <f t="shared" ca="1" si="9"/>
        <v>#N/A</v>
      </c>
      <c r="P26" s="7" t="e">
        <f t="shared" ca="1" si="9"/>
        <v>#N/A</v>
      </c>
      <c r="Q26" s="7" t="e">
        <f t="shared" ca="1" si="9"/>
        <v>#N/A</v>
      </c>
      <c r="R26" s="7" t="e">
        <f t="shared" ca="1" si="9"/>
        <v>#N/A</v>
      </c>
      <c r="S26" s="7" t="e">
        <f t="shared" ca="1" si="9"/>
        <v>#N/A</v>
      </c>
      <c r="T26" s="7" t="e">
        <f ca="1">IF(T24=0,0,1)</f>
        <v>#N/A</v>
      </c>
      <c r="U26" s="7" t="e">
        <f t="shared" ca="1" si="9"/>
        <v>#N/A</v>
      </c>
      <c r="V26" s="7" t="e">
        <f t="shared" ca="1" si="9"/>
        <v>#N/A</v>
      </c>
      <c r="W26" s="7" t="e">
        <f t="shared" ca="1" si="9"/>
        <v>#N/A</v>
      </c>
      <c r="X26" s="7" t="e">
        <f t="shared" ca="1" si="9"/>
        <v>#N/A</v>
      </c>
      <c r="Y26" s="7" t="e">
        <f t="shared" ca="1" si="9"/>
        <v>#N/A</v>
      </c>
      <c r="Z26" s="7" t="e">
        <f t="shared" ca="1" si="9"/>
        <v>#N/A</v>
      </c>
      <c r="AA26" s="7" t="e">
        <f t="shared" ca="1" si="9"/>
        <v>#N/A</v>
      </c>
      <c r="AB26" s="7" t="e">
        <f ca="1">IF(AB24=0,0,1)</f>
        <v>#N/A</v>
      </c>
      <c r="AC26" s="7" t="e">
        <f t="shared" ca="1" si="9"/>
        <v>#N/A</v>
      </c>
      <c r="AD26" s="7" t="e">
        <f t="shared" ca="1" si="9"/>
        <v>#N/A</v>
      </c>
      <c r="AE26" s="7" t="e">
        <f t="shared" ca="1" si="9"/>
        <v>#N/A</v>
      </c>
      <c r="AF26" s="7" t="e">
        <f t="shared" ca="1" si="9"/>
        <v>#N/A</v>
      </c>
      <c r="AG26" s="7" t="e">
        <f ca="1">IF(AG24=0,0,1)</f>
        <v>#N/A</v>
      </c>
      <c r="AH26" s="7" t="e">
        <f t="shared" ca="1" si="9"/>
        <v>#N/A</v>
      </c>
      <c r="AI26" s="7" t="e">
        <f t="shared" ca="1" si="9"/>
        <v>#N/A</v>
      </c>
      <c r="AJ26" s="7" t="e">
        <f t="shared" ca="1" si="9"/>
        <v>#N/A</v>
      </c>
      <c r="AK26" s="7" t="e">
        <f t="shared" ca="1" si="9"/>
        <v>#N/A</v>
      </c>
      <c r="AL26" s="7" t="e">
        <f t="shared" ca="1" si="9"/>
        <v>#N/A</v>
      </c>
      <c r="AM26" s="7" t="e">
        <f t="shared" ca="1" si="9"/>
        <v>#N/A</v>
      </c>
      <c r="AN26" s="7" t="e">
        <f t="shared" ca="1" si="9"/>
        <v>#N/A</v>
      </c>
      <c r="AO26" s="7" t="e">
        <f t="shared" ca="1" si="9"/>
        <v>#N/A</v>
      </c>
      <c r="AP26" s="7" t="e">
        <f t="shared" ca="1" si="9"/>
        <v>#N/A</v>
      </c>
      <c r="AQ26" s="7" t="e">
        <f t="shared" ca="1" si="9"/>
        <v>#N/A</v>
      </c>
      <c r="AR26" s="7" t="e">
        <f t="shared" ca="1" si="9"/>
        <v>#N/A</v>
      </c>
      <c r="AS26" s="7" t="e">
        <f t="shared" ca="1" si="9"/>
        <v>#N/A</v>
      </c>
      <c r="AT26" s="7" t="e">
        <f t="shared" ref="AT26:BE26" ca="1" si="10">IF(AT24=0,0,1)</f>
        <v>#N/A</v>
      </c>
      <c r="AU26" s="7" t="e">
        <f t="shared" ca="1" si="10"/>
        <v>#N/A</v>
      </c>
      <c r="AV26" s="7" t="e">
        <f t="shared" ca="1" si="10"/>
        <v>#N/A</v>
      </c>
      <c r="AW26" s="7" t="e">
        <f t="shared" ca="1" si="10"/>
        <v>#N/A</v>
      </c>
      <c r="AX26" s="7" t="e">
        <f t="shared" ca="1" si="10"/>
        <v>#N/A</v>
      </c>
      <c r="AY26" s="7" t="e">
        <f t="shared" ca="1" si="10"/>
        <v>#N/A</v>
      </c>
      <c r="AZ26" s="7" t="e">
        <f t="shared" ca="1" si="10"/>
        <v>#N/A</v>
      </c>
      <c r="BA26" s="7" t="e">
        <f t="shared" ca="1" si="10"/>
        <v>#N/A</v>
      </c>
      <c r="BB26" s="7" t="e">
        <f t="shared" ca="1" si="10"/>
        <v>#N/A</v>
      </c>
      <c r="BC26" s="7" t="e">
        <f t="shared" ca="1" si="10"/>
        <v>#N/A</v>
      </c>
      <c r="BD26" s="7" t="e">
        <f t="shared" ca="1" si="10"/>
        <v>#N/A</v>
      </c>
      <c r="BE26" s="7" t="e">
        <f t="shared" ca="1" si="10"/>
        <v>#N/A</v>
      </c>
      <c r="BL26" s="120" t="e">
        <f t="shared" ca="1" si="5"/>
        <v>#N/A</v>
      </c>
      <c r="BM26" s="120" t="e">
        <f t="shared" ca="1" si="6"/>
        <v>#N/A</v>
      </c>
      <c r="BN26" s="120" t="e">
        <f t="shared" ca="1" si="7"/>
        <v>#N/A</v>
      </c>
      <c r="BO26" s="120" t="e">
        <f t="shared" ca="1" si="8"/>
        <v>#N/A</v>
      </c>
    </row>
    <row r="27" spans="1:82" s="110" customFormat="1" ht="36" hidden="1" customHeight="1">
      <c r="B27" s="112"/>
      <c r="J27" s="442">
        <f>+J25</f>
        <v>1</v>
      </c>
      <c r="K27" s="442">
        <f>SUM($J25:K25)</f>
        <v>3</v>
      </c>
      <c r="L27" s="442">
        <f>SUM($J25:L25)</f>
        <v>6</v>
      </c>
      <c r="M27" s="442">
        <f>SUM($J25:M25)</f>
        <v>10</v>
      </c>
      <c r="N27" s="442">
        <f>SUM($J25:N25)</f>
        <v>15</v>
      </c>
      <c r="O27" s="442">
        <f>SUM($J25:O25)</f>
        <v>21</v>
      </c>
      <c r="P27" s="442">
        <f>SUM($J25:P25)</f>
        <v>28</v>
      </c>
      <c r="Q27" s="442">
        <f>SUM($J25:Q25)</f>
        <v>36</v>
      </c>
      <c r="R27" s="442">
        <f>SUM($J25:R25)</f>
        <v>45</v>
      </c>
      <c r="S27" s="442">
        <f>SUM($J25:S25)</f>
        <v>55</v>
      </c>
      <c r="T27" s="442">
        <f>SUM($J25:T25)</f>
        <v>66</v>
      </c>
      <c r="U27" s="442">
        <f>SUM($J25:U25)</f>
        <v>78</v>
      </c>
      <c r="V27" s="442">
        <f>SUM($J25:V25)</f>
        <v>91</v>
      </c>
      <c r="W27" s="442">
        <f>SUM($J25:W25)</f>
        <v>105</v>
      </c>
      <c r="X27" s="442">
        <f>SUM($J25:X25)</f>
        <v>120</v>
      </c>
      <c r="Y27" s="442">
        <f>SUM($J25:Y25)</f>
        <v>136</v>
      </c>
      <c r="Z27" s="442">
        <f>SUM($J25:Z25)</f>
        <v>153</v>
      </c>
      <c r="AA27" s="442">
        <f>SUM($J25:AA25)</f>
        <v>171</v>
      </c>
      <c r="AB27" s="442">
        <f>SUM($J25:AB25)</f>
        <v>190</v>
      </c>
      <c r="AC27" s="442">
        <f>SUM($J25:AC25)</f>
        <v>210</v>
      </c>
      <c r="AD27" s="442">
        <f>SUM($J25:AD25)</f>
        <v>231</v>
      </c>
      <c r="AE27" s="442">
        <f>SUM($J25:AE25)</f>
        <v>253</v>
      </c>
      <c r="AF27" s="442">
        <f>SUM($J25:AF25)</f>
        <v>276</v>
      </c>
      <c r="AG27" s="442">
        <f>SUM($J25:AG25)</f>
        <v>300</v>
      </c>
      <c r="AH27" s="442">
        <f>SUM($J25:AH25)</f>
        <v>325</v>
      </c>
      <c r="AI27" s="442">
        <f>SUM($J25:AI25)</f>
        <v>351</v>
      </c>
      <c r="AJ27" s="442">
        <f>SUM($J25:AJ25)</f>
        <v>378</v>
      </c>
      <c r="AK27" s="442">
        <f>SUM($J25:AK25)</f>
        <v>406</v>
      </c>
      <c r="AL27" s="442">
        <f>SUM($J25:AL25)</f>
        <v>435</v>
      </c>
      <c r="AM27" s="442">
        <f>SUM($J25:AM25)</f>
        <v>465</v>
      </c>
      <c r="AN27" s="442">
        <f>SUM($J25:AN25)</f>
        <v>496</v>
      </c>
      <c r="AO27" s="442">
        <f>SUM($J25:AO25)</f>
        <v>528</v>
      </c>
      <c r="AP27" s="442">
        <f>SUM($J25:AP25)</f>
        <v>561</v>
      </c>
      <c r="AQ27" s="442">
        <f>SUM($J25:AQ25)</f>
        <v>595</v>
      </c>
      <c r="AR27" s="442">
        <f>SUM($J25:AR25)</f>
        <v>630</v>
      </c>
      <c r="AS27" s="442">
        <f>SUM($J25:AS25)</f>
        <v>666</v>
      </c>
      <c r="AT27" s="442">
        <f>SUM($J25:AT25)</f>
        <v>703</v>
      </c>
      <c r="AU27" s="442">
        <f>SUM($J25:AU25)</f>
        <v>741</v>
      </c>
      <c r="AV27" s="442">
        <f>SUM($J25:AV25)</f>
        <v>780</v>
      </c>
      <c r="AW27" s="442">
        <f>SUM($J25:AW25)</f>
        <v>820</v>
      </c>
      <c r="AX27" s="442">
        <f>SUM($J25:AX25)</f>
        <v>861</v>
      </c>
      <c r="AY27" s="442">
        <f>SUM($J25:AY25)</f>
        <v>903</v>
      </c>
      <c r="AZ27" s="442">
        <f>SUM($J25:AZ25)</f>
        <v>946</v>
      </c>
      <c r="BA27" s="442">
        <f>SUM($J25:BA25)</f>
        <v>990</v>
      </c>
      <c r="BB27" s="442">
        <f>SUM($J25:BB25)</f>
        <v>1035</v>
      </c>
      <c r="BC27" s="442">
        <f>SUM($J25:BC25)</f>
        <v>1081</v>
      </c>
      <c r="BD27" s="442">
        <f>SUM($J25:BD25)</f>
        <v>1128</v>
      </c>
      <c r="BE27" s="442">
        <f>SUM($J25:BE25)</f>
        <v>1176</v>
      </c>
      <c r="BG27" s="122"/>
      <c r="BH27" s="122"/>
      <c r="BI27" s="122"/>
      <c r="BJ27" s="122"/>
      <c r="BK27" s="122"/>
      <c r="BL27" s="120">
        <f t="shared" si="5"/>
        <v>364</v>
      </c>
      <c r="BM27" s="120">
        <f t="shared" si="6"/>
        <v>2236</v>
      </c>
      <c r="BN27" s="120">
        <f t="shared" si="7"/>
        <v>5836</v>
      </c>
      <c r="BO27" s="120">
        <f t="shared" si="8"/>
        <v>11164</v>
      </c>
      <c r="BP27" s="120"/>
      <c r="BQ27" s="120"/>
      <c r="BR27" s="120"/>
      <c r="BS27" s="120"/>
      <c r="BT27" s="120"/>
      <c r="BU27" s="120"/>
      <c r="BV27" s="120"/>
      <c r="BW27" s="120"/>
      <c r="BX27" s="120"/>
      <c r="BY27" s="120"/>
      <c r="BZ27" s="120"/>
      <c r="CA27" s="120"/>
      <c r="CB27" s="120"/>
      <c r="CC27" s="120"/>
      <c r="CD27" s="120"/>
    </row>
    <row r="28" spans="1:82" s="110" customFormat="1" hidden="1">
      <c r="A28" s="467" t="s">
        <v>926</v>
      </c>
      <c r="C28" s="262" t="s">
        <v>97</v>
      </c>
      <c r="BG28" s="122"/>
      <c r="BH28" s="122"/>
      <c r="BI28" s="122"/>
      <c r="BJ28" s="122"/>
      <c r="BK28" s="122"/>
      <c r="BL28" s="120">
        <f t="shared" si="5"/>
        <v>0</v>
      </c>
      <c r="BM28" s="120">
        <f t="shared" si="6"/>
        <v>0</v>
      </c>
      <c r="BN28" s="120">
        <f t="shared" si="7"/>
        <v>0</v>
      </c>
      <c r="BO28" s="120">
        <f t="shared" si="8"/>
        <v>0</v>
      </c>
      <c r="BP28" s="120"/>
      <c r="BQ28" s="120"/>
      <c r="BR28" s="120"/>
      <c r="BS28" s="120"/>
      <c r="BT28" s="120"/>
      <c r="BU28" s="120"/>
      <c r="BV28" s="120"/>
      <c r="BW28" s="120"/>
      <c r="BX28" s="120"/>
      <c r="BY28" s="120"/>
      <c r="BZ28" s="120"/>
      <c r="CA28" s="120"/>
      <c r="CB28" s="120"/>
      <c r="CC28" s="120"/>
      <c r="CD28" s="120"/>
    </row>
    <row r="29" spans="1:82" s="110" customFormat="1">
      <c r="A29" s="467" t="s">
        <v>926</v>
      </c>
      <c r="C29" s="396"/>
      <c r="BG29" s="122"/>
      <c r="BH29" s="122"/>
      <c r="BI29" s="122"/>
      <c r="BJ29" s="122"/>
      <c r="BK29" s="122"/>
      <c r="BL29" s="120"/>
      <c r="BM29" s="120"/>
      <c r="BN29" s="120"/>
      <c r="BO29" s="120"/>
      <c r="BP29" s="120"/>
      <c r="BQ29" s="120"/>
      <c r="BR29" s="120"/>
      <c r="BS29" s="120"/>
      <c r="BT29" s="120"/>
      <c r="BU29" s="120"/>
      <c r="BV29" s="120"/>
      <c r="BW29" s="120"/>
      <c r="BX29" s="120"/>
      <c r="BY29" s="120"/>
      <c r="BZ29" s="120"/>
      <c r="CA29" s="120"/>
      <c r="CB29" s="120"/>
      <c r="CC29" s="120"/>
      <c r="CD29" s="120"/>
    </row>
    <row r="30" spans="1:82" s="110" customFormat="1" ht="20.3">
      <c r="A30" s="437" t="s">
        <v>926</v>
      </c>
      <c r="B30" s="707" t="s">
        <v>1048</v>
      </c>
      <c r="C30" s="707"/>
      <c r="D30" s="707"/>
      <c r="E30" s="707"/>
      <c r="F30" s="707"/>
      <c r="G30" s="707"/>
      <c r="H30" s="707"/>
      <c r="I30" s="707"/>
      <c r="J30" s="707"/>
      <c r="K30" s="707"/>
      <c r="L30" s="707"/>
      <c r="M30" s="707"/>
      <c r="N30" s="707"/>
      <c r="O30" s="707"/>
      <c r="P30" s="707"/>
      <c r="Q30" s="707"/>
      <c r="R30" s="707"/>
      <c r="S30" s="707"/>
      <c r="T30" s="707"/>
      <c r="U30" s="707"/>
      <c r="V30" s="707"/>
      <c r="W30" s="707"/>
      <c r="X30" s="707"/>
      <c r="Y30" s="707"/>
      <c r="Z30" s="707"/>
      <c r="AA30" s="707"/>
      <c r="AB30" s="707"/>
      <c r="AC30" s="707"/>
      <c r="AD30" s="707"/>
      <c r="AE30" s="707"/>
      <c r="AF30" s="707"/>
      <c r="AG30" s="707"/>
      <c r="AH30" s="707"/>
      <c r="AI30" s="707"/>
      <c r="AJ30" s="707"/>
      <c r="AK30" s="707"/>
      <c r="AL30" s="707"/>
      <c r="AM30" s="707"/>
      <c r="AN30" s="707"/>
      <c r="AO30" s="707"/>
      <c r="AP30" s="707"/>
      <c r="AQ30" s="707"/>
      <c r="AR30" s="707"/>
      <c r="AS30" s="707"/>
      <c r="AT30" s="707"/>
      <c r="AU30" s="707"/>
      <c r="AV30" s="707"/>
      <c r="AW30" s="707"/>
      <c r="AX30" s="707"/>
      <c r="AY30" s="707"/>
      <c r="AZ30" s="707"/>
      <c r="BA30" s="707"/>
      <c r="BB30" s="707"/>
      <c r="BC30" s="707"/>
      <c r="BD30" s="707"/>
      <c r="BE30" s="707"/>
      <c r="BG30" s="122"/>
      <c r="BH30" s="122"/>
      <c r="BI30" s="122"/>
      <c r="BJ30" s="122"/>
      <c r="BK30" s="122"/>
      <c r="BL30" s="120"/>
      <c r="BM30" s="120"/>
      <c r="BN30" s="120"/>
      <c r="BO30" s="120"/>
      <c r="BP30" s="120"/>
      <c r="BQ30" s="120"/>
      <c r="BR30" s="120"/>
      <c r="BS30" s="120"/>
      <c r="BT30" s="120"/>
      <c r="BU30" s="120"/>
      <c r="BV30" s="120"/>
      <c r="BW30" s="120"/>
      <c r="BX30" s="120"/>
      <c r="BY30" s="120"/>
      <c r="BZ30" s="120"/>
      <c r="CA30" s="120"/>
      <c r="CB30" s="120"/>
      <c r="CC30" s="120"/>
      <c r="CD30" s="120"/>
    </row>
    <row r="31" spans="1:82" s="110" customFormat="1" ht="43.55" customHeight="1">
      <c r="A31" s="197"/>
      <c r="B31" s="468" t="s">
        <v>818</v>
      </c>
      <c r="C31" s="523" t="str">
        <f>IF(C4="","Not Applicable",C4)</f>
        <v>Not Applicable</v>
      </c>
      <c r="D31" s="517"/>
      <c r="E31" s="517"/>
      <c r="F31" s="517"/>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03"/>
      <c r="AS31" s="703"/>
      <c r="AT31" s="703"/>
      <c r="AU31" s="703"/>
      <c r="AV31" s="703"/>
      <c r="AW31" s="703"/>
      <c r="AX31" s="703"/>
      <c r="AY31" s="703"/>
      <c r="AZ31" s="703"/>
      <c r="BA31" s="703"/>
      <c r="BB31" s="703"/>
      <c r="BC31" s="703"/>
      <c r="BD31" s="703"/>
      <c r="BE31" s="703"/>
      <c r="BG31" s="122"/>
      <c r="BH31" s="122"/>
      <c r="BI31" s="122"/>
      <c r="BJ31" s="122"/>
      <c r="BK31" s="122"/>
      <c r="BL31" s="120"/>
      <c r="BM31" s="120"/>
      <c r="BN31" s="120"/>
      <c r="BO31" s="120"/>
      <c r="BP31" s="120"/>
      <c r="BQ31" s="120"/>
      <c r="BR31" s="120"/>
      <c r="BS31" s="120"/>
      <c r="BT31" s="120"/>
      <c r="BU31" s="120"/>
      <c r="BV31" s="120"/>
      <c r="BW31" s="120"/>
      <c r="BX31" s="120"/>
      <c r="BY31" s="120"/>
      <c r="BZ31" s="120"/>
      <c r="CA31" s="120"/>
      <c r="CB31" s="120"/>
      <c r="CC31" s="120"/>
      <c r="CD31" s="120"/>
    </row>
    <row r="32" spans="1:82" s="110" customFormat="1" ht="43.55" customHeight="1">
      <c r="A32" s="197"/>
      <c r="B32" s="468" t="s">
        <v>819</v>
      </c>
      <c r="C32" s="523" t="str">
        <f t="shared" ref="C32:C50" si="11">IF(C5="","Not Applicable",C5)</f>
        <v>Not Applicable</v>
      </c>
      <c r="D32" s="517"/>
      <c r="E32" s="517"/>
      <c r="F32" s="517"/>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3"/>
      <c r="AO32" s="703"/>
      <c r="AP32" s="703"/>
      <c r="AQ32" s="703"/>
      <c r="AR32" s="703"/>
      <c r="AS32" s="703"/>
      <c r="AT32" s="703"/>
      <c r="AU32" s="703"/>
      <c r="AV32" s="703"/>
      <c r="AW32" s="703"/>
      <c r="AX32" s="703"/>
      <c r="AY32" s="703"/>
      <c r="AZ32" s="703"/>
      <c r="BA32" s="703"/>
      <c r="BB32" s="703"/>
      <c r="BC32" s="703"/>
      <c r="BD32" s="703"/>
      <c r="BE32" s="703"/>
      <c r="BG32" s="122"/>
      <c r="BH32" s="122"/>
      <c r="BI32" s="122"/>
      <c r="BJ32" s="122"/>
      <c r="BK32" s="122"/>
      <c r="BL32" s="120"/>
      <c r="BM32" s="120"/>
      <c r="BN32" s="120"/>
      <c r="BO32" s="120"/>
      <c r="BP32" s="120"/>
      <c r="BQ32" s="120"/>
      <c r="BR32" s="120"/>
      <c r="BS32" s="120"/>
      <c r="BT32" s="120"/>
      <c r="BU32" s="120"/>
      <c r="BV32" s="120"/>
      <c r="BW32" s="120"/>
      <c r="BX32" s="120"/>
      <c r="BY32" s="120"/>
      <c r="BZ32" s="120"/>
      <c r="CA32" s="120"/>
      <c r="CB32" s="120"/>
      <c r="CC32" s="120"/>
      <c r="CD32" s="120"/>
    </row>
    <row r="33" spans="1:82" s="110" customFormat="1" ht="43.55" customHeight="1">
      <c r="A33" s="197"/>
      <c r="B33" s="468" t="s">
        <v>820</v>
      </c>
      <c r="C33" s="523" t="str">
        <f t="shared" si="11"/>
        <v>Not Applicable</v>
      </c>
      <c r="D33" s="517"/>
      <c r="E33" s="517"/>
      <c r="F33" s="517"/>
      <c r="G33" s="703"/>
      <c r="H33" s="703"/>
      <c r="I33" s="703"/>
      <c r="J33" s="703"/>
      <c r="K33" s="703"/>
      <c r="L33" s="703"/>
      <c r="M33" s="703"/>
      <c r="N33" s="703"/>
      <c r="O33" s="703"/>
      <c r="P33" s="703"/>
      <c r="Q33" s="703"/>
      <c r="R33" s="703"/>
      <c r="S33" s="703"/>
      <c r="T33" s="703"/>
      <c r="U33" s="703"/>
      <c r="V33" s="703"/>
      <c r="W33" s="703"/>
      <c r="X33" s="703"/>
      <c r="Y33" s="703"/>
      <c r="Z33" s="703"/>
      <c r="AA33" s="703"/>
      <c r="AB33" s="703"/>
      <c r="AC33" s="703"/>
      <c r="AD33" s="703"/>
      <c r="AE33" s="703"/>
      <c r="AF33" s="703"/>
      <c r="AG33" s="703"/>
      <c r="AH33" s="703"/>
      <c r="AI33" s="703"/>
      <c r="AJ33" s="703"/>
      <c r="AK33" s="703"/>
      <c r="AL33" s="703"/>
      <c r="AM33" s="703"/>
      <c r="AN33" s="703"/>
      <c r="AO33" s="703"/>
      <c r="AP33" s="703"/>
      <c r="AQ33" s="703"/>
      <c r="AR33" s="703"/>
      <c r="AS33" s="703"/>
      <c r="AT33" s="703"/>
      <c r="AU33" s="703"/>
      <c r="AV33" s="703"/>
      <c r="AW33" s="703"/>
      <c r="AX33" s="703"/>
      <c r="AY33" s="703"/>
      <c r="AZ33" s="703"/>
      <c r="BA33" s="703"/>
      <c r="BB33" s="703"/>
      <c r="BC33" s="703"/>
      <c r="BD33" s="703"/>
      <c r="BE33" s="703"/>
      <c r="BG33" s="122"/>
      <c r="BH33" s="122"/>
      <c r="BI33" s="122"/>
      <c r="BJ33" s="122"/>
      <c r="BK33" s="122"/>
      <c r="BL33" s="120"/>
      <c r="BM33" s="120"/>
      <c r="BN33" s="120"/>
      <c r="BO33" s="120"/>
      <c r="BP33" s="120"/>
      <c r="BQ33" s="120"/>
      <c r="BR33" s="120"/>
      <c r="BS33" s="120"/>
      <c r="BT33" s="120"/>
      <c r="BU33" s="120"/>
      <c r="BV33" s="120"/>
      <c r="BW33" s="120"/>
      <c r="BX33" s="120"/>
      <c r="BY33" s="120"/>
      <c r="BZ33" s="120"/>
      <c r="CA33" s="120"/>
      <c r="CB33" s="120"/>
      <c r="CC33" s="120"/>
      <c r="CD33" s="120"/>
    </row>
    <row r="34" spans="1:82" s="110" customFormat="1" ht="43.55" customHeight="1">
      <c r="A34" s="197"/>
      <c r="B34" s="468" t="s">
        <v>821</v>
      </c>
      <c r="C34" s="523" t="str">
        <f t="shared" si="11"/>
        <v>Not Applicable</v>
      </c>
      <c r="D34" s="517"/>
      <c r="E34" s="517"/>
      <c r="F34" s="517"/>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3"/>
      <c r="AM34" s="703"/>
      <c r="AN34" s="703"/>
      <c r="AO34" s="703"/>
      <c r="AP34" s="703"/>
      <c r="AQ34" s="703"/>
      <c r="AR34" s="703"/>
      <c r="AS34" s="703"/>
      <c r="AT34" s="703"/>
      <c r="AU34" s="703"/>
      <c r="AV34" s="703"/>
      <c r="AW34" s="703"/>
      <c r="AX34" s="703"/>
      <c r="AY34" s="703"/>
      <c r="AZ34" s="703"/>
      <c r="BA34" s="703"/>
      <c r="BB34" s="703"/>
      <c r="BC34" s="703"/>
      <c r="BD34" s="703"/>
      <c r="BE34" s="703"/>
      <c r="BG34" s="122"/>
      <c r="BH34" s="122"/>
      <c r="BI34" s="122"/>
      <c r="BJ34" s="122"/>
      <c r="BK34" s="122"/>
      <c r="BL34" s="120"/>
      <c r="BM34" s="120"/>
      <c r="BN34" s="120"/>
      <c r="BO34" s="120"/>
      <c r="BP34" s="120"/>
      <c r="BQ34" s="120"/>
      <c r="BR34" s="120"/>
      <c r="BS34" s="120"/>
      <c r="BT34" s="120"/>
      <c r="BU34" s="120"/>
      <c r="BV34" s="120"/>
      <c r="BW34" s="120"/>
      <c r="BX34" s="120"/>
      <c r="BY34" s="120"/>
      <c r="BZ34" s="120"/>
      <c r="CA34" s="120"/>
      <c r="CB34" s="120"/>
      <c r="CC34" s="120"/>
      <c r="CD34" s="120"/>
    </row>
    <row r="35" spans="1:82" s="110" customFormat="1" ht="43.55" customHeight="1">
      <c r="A35" s="197"/>
      <c r="B35" s="468" t="s">
        <v>822</v>
      </c>
      <c r="C35" s="523" t="str">
        <f t="shared" si="11"/>
        <v>Not Applicable</v>
      </c>
      <c r="D35" s="517"/>
      <c r="E35" s="517"/>
      <c r="F35" s="517"/>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3"/>
      <c r="AO35" s="703"/>
      <c r="AP35" s="703"/>
      <c r="AQ35" s="703"/>
      <c r="AR35" s="703"/>
      <c r="AS35" s="703"/>
      <c r="AT35" s="703"/>
      <c r="AU35" s="703"/>
      <c r="AV35" s="703"/>
      <c r="AW35" s="703"/>
      <c r="AX35" s="703"/>
      <c r="AY35" s="703"/>
      <c r="AZ35" s="703"/>
      <c r="BA35" s="703"/>
      <c r="BB35" s="703"/>
      <c r="BC35" s="703"/>
      <c r="BD35" s="703"/>
      <c r="BE35" s="703"/>
      <c r="BG35" s="122"/>
      <c r="BH35" s="122"/>
      <c r="BI35" s="122"/>
      <c r="BJ35" s="122"/>
      <c r="BK35" s="122"/>
      <c r="BL35" s="120"/>
      <c r="BM35" s="120"/>
      <c r="BN35" s="120"/>
      <c r="BO35" s="120"/>
      <c r="BP35" s="120"/>
      <c r="BQ35" s="120"/>
      <c r="BR35" s="120"/>
      <c r="BS35" s="120"/>
      <c r="BT35" s="120"/>
      <c r="BU35" s="120"/>
      <c r="BV35" s="120"/>
      <c r="BW35" s="120"/>
      <c r="BX35" s="120"/>
      <c r="BY35" s="120"/>
      <c r="BZ35" s="120"/>
      <c r="CA35" s="120"/>
      <c r="CB35" s="120"/>
      <c r="CC35" s="120"/>
      <c r="CD35" s="120"/>
    </row>
    <row r="36" spans="1:82" s="110" customFormat="1" ht="43.55" customHeight="1">
      <c r="A36" s="197"/>
      <c r="B36" s="468" t="s">
        <v>823</v>
      </c>
      <c r="C36" s="523" t="str">
        <f t="shared" si="11"/>
        <v>Not Applicable</v>
      </c>
      <c r="D36" s="517"/>
      <c r="E36" s="517"/>
      <c r="F36" s="517"/>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3"/>
      <c r="AO36" s="703"/>
      <c r="AP36" s="703"/>
      <c r="AQ36" s="703"/>
      <c r="AR36" s="703"/>
      <c r="AS36" s="703"/>
      <c r="AT36" s="703"/>
      <c r="AU36" s="703"/>
      <c r="AV36" s="703"/>
      <c r="AW36" s="703"/>
      <c r="AX36" s="703"/>
      <c r="AY36" s="703"/>
      <c r="AZ36" s="703"/>
      <c r="BA36" s="703"/>
      <c r="BB36" s="703"/>
      <c r="BC36" s="703"/>
      <c r="BD36" s="703"/>
      <c r="BE36" s="703"/>
      <c r="BG36" s="122"/>
      <c r="BH36" s="122"/>
      <c r="BI36" s="122"/>
      <c r="BJ36" s="122"/>
      <c r="BK36" s="122"/>
      <c r="BL36" s="120"/>
      <c r="BM36" s="120"/>
      <c r="BN36" s="120"/>
      <c r="BO36" s="120"/>
      <c r="BP36" s="120"/>
      <c r="BQ36" s="120"/>
      <c r="BR36" s="120"/>
      <c r="BS36" s="120"/>
      <c r="BT36" s="120"/>
      <c r="BU36" s="120"/>
      <c r="BV36" s="120"/>
      <c r="BW36" s="120"/>
      <c r="BX36" s="120"/>
      <c r="BY36" s="120"/>
      <c r="BZ36" s="120"/>
      <c r="CA36" s="120"/>
      <c r="CB36" s="120"/>
      <c r="CC36" s="120"/>
      <c r="CD36" s="120"/>
    </row>
    <row r="37" spans="1:82" s="110" customFormat="1" ht="43.55" customHeight="1">
      <c r="A37" s="197"/>
      <c r="B37" s="468" t="s">
        <v>824</v>
      </c>
      <c r="C37" s="523" t="str">
        <f t="shared" si="11"/>
        <v>Not Applicable</v>
      </c>
      <c r="D37" s="517"/>
      <c r="E37" s="517"/>
      <c r="F37" s="517"/>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3"/>
      <c r="AM37" s="703"/>
      <c r="AN37" s="703"/>
      <c r="AO37" s="703"/>
      <c r="AP37" s="703"/>
      <c r="AQ37" s="703"/>
      <c r="AR37" s="703"/>
      <c r="AS37" s="703"/>
      <c r="AT37" s="703"/>
      <c r="AU37" s="703"/>
      <c r="AV37" s="703"/>
      <c r="AW37" s="703"/>
      <c r="AX37" s="703"/>
      <c r="AY37" s="703"/>
      <c r="AZ37" s="703"/>
      <c r="BA37" s="703"/>
      <c r="BB37" s="703"/>
      <c r="BC37" s="703"/>
      <c r="BD37" s="703"/>
      <c r="BE37" s="703"/>
      <c r="BG37" s="122"/>
      <c r="BH37" s="122"/>
      <c r="BI37" s="122"/>
      <c r="BJ37" s="122"/>
      <c r="BK37" s="122"/>
      <c r="BL37" s="120"/>
      <c r="BM37" s="120"/>
      <c r="BN37" s="120"/>
      <c r="BO37" s="120"/>
      <c r="BP37" s="120"/>
      <c r="BQ37" s="120"/>
      <c r="BR37" s="120"/>
      <c r="BS37" s="120"/>
      <c r="BT37" s="120"/>
      <c r="BU37" s="120"/>
      <c r="BV37" s="120"/>
      <c r="BW37" s="120"/>
      <c r="BX37" s="120"/>
      <c r="BY37" s="120"/>
      <c r="BZ37" s="120"/>
      <c r="CA37" s="120"/>
      <c r="CB37" s="120"/>
      <c r="CC37" s="120"/>
      <c r="CD37" s="120"/>
    </row>
    <row r="38" spans="1:82" s="110" customFormat="1" ht="43.55" customHeight="1">
      <c r="A38" s="197"/>
      <c r="B38" s="468" t="s">
        <v>825</v>
      </c>
      <c r="C38" s="523" t="str">
        <f t="shared" si="11"/>
        <v>Not Applicable</v>
      </c>
      <c r="D38" s="517"/>
      <c r="E38" s="517"/>
      <c r="F38" s="517"/>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c r="AH38" s="703"/>
      <c r="AI38" s="703"/>
      <c r="AJ38" s="703"/>
      <c r="AK38" s="703"/>
      <c r="AL38" s="703"/>
      <c r="AM38" s="703"/>
      <c r="AN38" s="703"/>
      <c r="AO38" s="703"/>
      <c r="AP38" s="703"/>
      <c r="AQ38" s="703"/>
      <c r="AR38" s="703"/>
      <c r="AS38" s="703"/>
      <c r="AT38" s="703"/>
      <c r="AU38" s="703"/>
      <c r="AV38" s="703"/>
      <c r="AW38" s="703"/>
      <c r="AX38" s="703"/>
      <c r="AY38" s="703"/>
      <c r="AZ38" s="703"/>
      <c r="BA38" s="703"/>
      <c r="BB38" s="703"/>
      <c r="BC38" s="703"/>
      <c r="BD38" s="703"/>
      <c r="BE38" s="703"/>
      <c r="BG38" s="122"/>
      <c r="BH38" s="122"/>
      <c r="BI38" s="122"/>
      <c r="BJ38" s="122"/>
      <c r="BK38" s="122"/>
      <c r="BL38" s="120"/>
      <c r="BM38" s="120"/>
      <c r="BN38" s="120"/>
      <c r="BO38" s="120"/>
      <c r="BP38" s="120"/>
      <c r="BQ38" s="120"/>
      <c r="BR38" s="120"/>
      <c r="BS38" s="120"/>
      <c r="BT38" s="120"/>
      <c r="BU38" s="120"/>
      <c r="BV38" s="120"/>
      <c r="BW38" s="120"/>
      <c r="BX38" s="120"/>
      <c r="BY38" s="120"/>
      <c r="BZ38" s="120"/>
      <c r="CA38" s="120"/>
      <c r="CB38" s="120"/>
      <c r="CC38" s="120"/>
      <c r="CD38" s="120"/>
    </row>
    <row r="39" spans="1:82" s="110" customFormat="1" ht="43.55" customHeight="1">
      <c r="A39" s="197"/>
      <c r="B39" s="468" t="s">
        <v>826</v>
      </c>
      <c r="C39" s="523" t="str">
        <f t="shared" si="11"/>
        <v>Not Applicable</v>
      </c>
      <c r="D39" s="517"/>
      <c r="E39" s="517"/>
      <c r="F39" s="517"/>
      <c r="G39" s="703"/>
      <c r="H39" s="703"/>
      <c r="I39" s="703"/>
      <c r="J39" s="703"/>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703"/>
      <c r="AH39" s="703"/>
      <c r="AI39" s="703"/>
      <c r="AJ39" s="703"/>
      <c r="AK39" s="703"/>
      <c r="AL39" s="703"/>
      <c r="AM39" s="703"/>
      <c r="AN39" s="703"/>
      <c r="AO39" s="703"/>
      <c r="AP39" s="703"/>
      <c r="AQ39" s="703"/>
      <c r="AR39" s="703"/>
      <c r="AS39" s="703"/>
      <c r="AT39" s="703"/>
      <c r="AU39" s="703"/>
      <c r="AV39" s="703"/>
      <c r="AW39" s="703"/>
      <c r="AX39" s="703"/>
      <c r="AY39" s="703"/>
      <c r="AZ39" s="703"/>
      <c r="BA39" s="703"/>
      <c r="BB39" s="703"/>
      <c r="BC39" s="703"/>
      <c r="BD39" s="703"/>
      <c r="BE39" s="703"/>
      <c r="BG39" s="122"/>
      <c r="BH39" s="122"/>
      <c r="BI39" s="122"/>
      <c r="BJ39" s="122"/>
      <c r="BK39" s="122"/>
      <c r="BL39" s="120"/>
      <c r="BM39" s="120"/>
      <c r="BN39" s="120"/>
      <c r="BO39" s="120"/>
      <c r="BP39" s="120"/>
      <c r="BQ39" s="120"/>
      <c r="BR39" s="120"/>
      <c r="BS39" s="120"/>
      <c r="BT39" s="120"/>
      <c r="BU39" s="120"/>
      <c r="BV39" s="120"/>
      <c r="BW39" s="120"/>
      <c r="BX39" s="120"/>
      <c r="BY39" s="120"/>
      <c r="BZ39" s="120"/>
      <c r="CA39" s="120"/>
      <c r="CB39" s="120"/>
      <c r="CC39" s="120"/>
      <c r="CD39" s="120"/>
    </row>
    <row r="40" spans="1:82" s="110" customFormat="1" ht="43.55" customHeight="1">
      <c r="A40" s="197"/>
      <c r="B40" s="468" t="s">
        <v>827</v>
      </c>
      <c r="C40" s="523" t="str">
        <f t="shared" si="11"/>
        <v>Not Applicable</v>
      </c>
      <c r="D40" s="517"/>
      <c r="E40" s="517"/>
      <c r="F40" s="517"/>
      <c r="G40" s="703"/>
      <c r="H40" s="703"/>
      <c r="I40" s="703"/>
      <c r="J40" s="703"/>
      <c r="K40" s="703"/>
      <c r="L40" s="703"/>
      <c r="M40" s="703"/>
      <c r="N40" s="703"/>
      <c r="O40" s="703"/>
      <c r="P40" s="703"/>
      <c r="Q40" s="703"/>
      <c r="R40" s="703"/>
      <c r="S40" s="703"/>
      <c r="T40" s="703"/>
      <c r="U40" s="703"/>
      <c r="V40" s="703"/>
      <c r="W40" s="703"/>
      <c r="X40" s="703"/>
      <c r="Y40" s="703"/>
      <c r="Z40" s="703"/>
      <c r="AA40" s="703"/>
      <c r="AB40" s="703"/>
      <c r="AC40" s="703"/>
      <c r="AD40" s="703"/>
      <c r="AE40" s="703"/>
      <c r="AF40" s="703"/>
      <c r="AG40" s="703"/>
      <c r="AH40" s="703"/>
      <c r="AI40" s="703"/>
      <c r="AJ40" s="703"/>
      <c r="AK40" s="703"/>
      <c r="AL40" s="703"/>
      <c r="AM40" s="703"/>
      <c r="AN40" s="703"/>
      <c r="AO40" s="703"/>
      <c r="AP40" s="703"/>
      <c r="AQ40" s="703"/>
      <c r="AR40" s="703"/>
      <c r="AS40" s="703"/>
      <c r="AT40" s="703"/>
      <c r="AU40" s="703"/>
      <c r="AV40" s="703"/>
      <c r="AW40" s="703"/>
      <c r="AX40" s="703"/>
      <c r="AY40" s="703"/>
      <c r="AZ40" s="703"/>
      <c r="BA40" s="703"/>
      <c r="BB40" s="703"/>
      <c r="BC40" s="703"/>
      <c r="BD40" s="703"/>
      <c r="BE40" s="703"/>
      <c r="BG40" s="122"/>
      <c r="BH40" s="122"/>
      <c r="BI40" s="122"/>
      <c r="BJ40" s="122"/>
      <c r="BK40" s="122"/>
      <c r="BL40" s="120"/>
      <c r="BM40" s="120"/>
      <c r="BN40" s="120"/>
      <c r="BO40" s="120"/>
      <c r="BP40" s="120"/>
      <c r="BQ40" s="120"/>
      <c r="BR40" s="120"/>
      <c r="BS40" s="120"/>
      <c r="BT40" s="120"/>
      <c r="BU40" s="120"/>
      <c r="BV40" s="120"/>
      <c r="BW40" s="120"/>
      <c r="BX40" s="120"/>
      <c r="BY40" s="120"/>
      <c r="BZ40" s="120"/>
      <c r="CA40" s="120"/>
      <c r="CB40" s="120"/>
      <c r="CC40" s="120"/>
      <c r="CD40" s="120"/>
    </row>
    <row r="41" spans="1:82" s="110" customFormat="1" ht="43.55" customHeight="1">
      <c r="A41" s="197"/>
      <c r="B41" s="468" t="s">
        <v>828</v>
      </c>
      <c r="C41" s="523" t="str">
        <f t="shared" si="11"/>
        <v>Not Applicable</v>
      </c>
      <c r="D41" s="517"/>
      <c r="E41" s="517"/>
      <c r="F41" s="517"/>
      <c r="G41" s="703"/>
      <c r="H41" s="703"/>
      <c r="I41" s="703"/>
      <c r="J41" s="703"/>
      <c r="K41" s="703"/>
      <c r="L41" s="703"/>
      <c r="M41" s="703"/>
      <c r="N41" s="703"/>
      <c r="O41" s="703"/>
      <c r="P41" s="703"/>
      <c r="Q41" s="703"/>
      <c r="R41" s="703"/>
      <c r="S41" s="703"/>
      <c r="T41" s="703"/>
      <c r="U41" s="703"/>
      <c r="V41" s="703"/>
      <c r="W41" s="703"/>
      <c r="X41" s="703"/>
      <c r="Y41" s="703"/>
      <c r="Z41" s="703"/>
      <c r="AA41" s="703"/>
      <c r="AB41" s="703"/>
      <c r="AC41" s="703"/>
      <c r="AD41" s="703"/>
      <c r="AE41" s="703"/>
      <c r="AF41" s="703"/>
      <c r="AG41" s="703"/>
      <c r="AH41" s="703"/>
      <c r="AI41" s="703"/>
      <c r="AJ41" s="703"/>
      <c r="AK41" s="703"/>
      <c r="AL41" s="703"/>
      <c r="AM41" s="703"/>
      <c r="AN41" s="703"/>
      <c r="AO41" s="703"/>
      <c r="AP41" s="703"/>
      <c r="AQ41" s="703"/>
      <c r="AR41" s="703"/>
      <c r="AS41" s="703"/>
      <c r="AT41" s="703"/>
      <c r="AU41" s="703"/>
      <c r="AV41" s="703"/>
      <c r="AW41" s="703"/>
      <c r="AX41" s="703"/>
      <c r="AY41" s="703"/>
      <c r="AZ41" s="703"/>
      <c r="BA41" s="703"/>
      <c r="BB41" s="703"/>
      <c r="BC41" s="703"/>
      <c r="BD41" s="703"/>
      <c r="BE41" s="703"/>
      <c r="BG41" s="122"/>
      <c r="BH41" s="122"/>
      <c r="BI41" s="122"/>
      <c r="BJ41" s="122"/>
      <c r="BK41" s="122"/>
      <c r="BL41" s="120"/>
      <c r="BM41" s="120"/>
      <c r="BN41" s="120"/>
      <c r="BO41" s="120"/>
      <c r="BP41" s="120"/>
      <c r="BQ41" s="120"/>
      <c r="BR41" s="120"/>
      <c r="BS41" s="120"/>
      <c r="BT41" s="120"/>
      <c r="BU41" s="120"/>
      <c r="BV41" s="120"/>
      <c r="BW41" s="120"/>
      <c r="BX41" s="120"/>
      <c r="BY41" s="120"/>
      <c r="BZ41" s="120"/>
      <c r="CA41" s="120"/>
      <c r="CB41" s="120"/>
      <c r="CC41" s="120"/>
      <c r="CD41" s="120"/>
    </row>
    <row r="42" spans="1:82" s="110" customFormat="1" ht="43.55" customHeight="1">
      <c r="A42" s="197"/>
      <c r="B42" s="468" t="s">
        <v>829</v>
      </c>
      <c r="C42" s="523" t="str">
        <f t="shared" si="11"/>
        <v>Not Applicable</v>
      </c>
      <c r="D42" s="517"/>
      <c r="E42" s="517"/>
      <c r="F42" s="517"/>
      <c r="G42" s="703"/>
      <c r="H42" s="703"/>
      <c r="I42" s="703"/>
      <c r="J42" s="703"/>
      <c r="K42" s="703"/>
      <c r="L42" s="703"/>
      <c r="M42" s="703"/>
      <c r="N42" s="703"/>
      <c r="O42" s="703"/>
      <c r="P42" s="703"/>
      <c r="Q42" s="703"/>
      <c r="R42" s="703"/>
      <c r="S42" s="703"/>
      <c r="T42" s="703"/>
      <c r="U42" s="703"/>
      <c r="V42" s="703"/>
      <c r="W42" s="703"/>
      <c r="X42" s="703"/>
      <c r="Y42" s="703"/>
      <c r="Z42" s="703"/>
      <c r="AA42" s="703"/>
      <c r="AB42" s="703"/>
      <c r="AC42" s="703"/>
      <c r="AD42" s="703"/>
      <c r="AE42" s="703"/>
      <c r="AF42" s="703"/>
      <c r="AG42" s="703"/>
      <c r="AH42" s="703"/>
      <c r="AI42" s="703"/>
      <c r="AJ42" s="703"/>
      <c r="AK42" s="703"/>
      <c r="AL42" s="703"/>
      <c r="AM42" s="703"/>
      <c r="AN42" s="703"/>
      <c r="AO42" s="703"/>
      <c r="AP42" s="703"/>
      <c r="AQ42" s="703"/>
      <c r="AR42" s="703"/>
      <c r="AS42" s="703"/>
      <c r="AT42" s="703"/>
      <c r="AU42" s="703"/>
      <c r="AV42" s="703"/>
      <c r="AW42" s="703"/>
      <c r="AX42" s="703"/>
      <c r="AY42" s="703"/>
      <c r="AZ42" s="703"/>
      <c r="BA42" s="703"/>
      <c r="BB42" s="703"/>
      <c r="BC42" s="703"/>
      <c r="BD42" s="703"/>
      <c r="BE42" s="703"/>
      <c r="BG42" s="122"/>
      <c r="BH42" s="122"/>
      <c r="BI42" s="122"/>
      <c r="BJ42" s="122"/>
      <c r="BK42" s="122"/>
      <c r="BL42" s="120"/>
      <c r="BM42" s="120"/>
      <c r="BN42" s="120"/>
      <c r="BO42" s="120"/>
      <c r="BP42" s="120"/>
      <c r="BQ42" s="120"/>
      <c r="BR42" s="120"/>
      <c r="BS42" s="120"/>
      <c r="BT42" s="120"/>
      <c r="BU42" s="120"/>
      <c r="BV42" s="120"/>
      <c r="BW42" s="120"/>
      <c r="BX42" s="120"/>
      <c r="BY42" s="120"/>
      <c r="BZ42" s="120"/>
      <c r="CA42" s="120"/>
      <c r="CB42" s="120"/>
      <c r="CC42" s="120"/>
      <c r="CD42" s="120"/>
    </row>
    <row r="43" spans="1:82" s="110" customFormat="1" ht="43.55" customHeight="1">
      <c r="A43" s="197"/>
      <c r="B43" s="468" t="s">
        <v>830</v>
      </c>
      <c r="C43" s="523" t="str">
        <f t="shared" si="11"/>
        <v>Not Applicable</v>
      </c>
      <c r="D43" s="517"/>
      <c r="E43" s="517"/>
      <c r="F43" s="517"/>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3"/>
      <c r="AM43" s="703"/>
      <c r="AN43" s="703"/>
      <c r="AO43" s="703"/>
      <c r="AP43" s="703"/>
      <c r="AQ43" s="703"/>
      <c r="AR43" s="703"/>
      <c r="AS43" s="703"/>
      <c r="AT43" s="703"/>
      <c r="AU43" s="703"/>
      <c r="AV43" s="703"/>
      <c r="AW43" s="703"/>
      <c r="AX43" s="703"/>
      <c r="AY43" s="703"/>
      <c r="AZ43" s="703"/>
      <c r="BA43" s="703"/>
      <c r="BB43" s="703"/>
      <c r="BC43" s="703"/>
      <c r="BD43" s="703"/>
      <c r="BE43" s="703"/>
      <c r="BG43" s="122"/>
      <c r="BH43" s="122"/>
      <c r="BI43" s="122"/>
      <c r="BJ43" s="122"/>
      <c r="BK43" s="122"/>
      <c r="BL43" s="120"/>
      <c r="BM43" s="120"/>
      <c r="BN43" s="120"/>
      <c r="BO43" s="120"/>
      <c r="BP43" s="120"/>
      <c r="BQ43" s="120"/>
      <c r="BR43" s="120"/>
      <c r="BS43" s="120"/>
      <c r="BT43" s="120"/>
      <c r="BU43" s="120"/>
      <c r="BV43" s="120"/>
      <c r="BW43" s="120"/>
      <c r="BX43" s="120"/>
      <c r="BY43" s="120"/>
      <c r="BZ43" s="120"/>
      <c r="CA43" s="120"/>
      <c r="CB43" s="120"/>
      <c r="CC43" s="120"/>
      <c r="CD43" s="120"/>
    </row>
    <row r="44" spans="1:82" s="110" customFormat="1" ht="43.55" customHeight="1">
      <c r="A44" s="197"/>
      <c r="B44" s="468" t="s">
        <v>831</v>
      </c>
      <c r="C44" s="523" t="str">
        <f t="shared" si="11"/>
        <v>Not Applicable</v>
      </c>
      <c r="D44" s="517"/>
      <c r="E44" s="517"/>
      <c r="F44" s="517"/>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3"/>
      <c r="AM44" s="703"/>
      <c r="AN44" s="703"/>
      <c r="AO44" s="703"/>
      <c r="AP44" s="703"/>
      <c r="AQ44" s="703"/>
      <c r="AR44" s="703"/>
      <c r="AS44" s="703"/>
      <c r="AT44" s="703"/>
      <c r="AU44" s="703"/>
      <c r="AV44" s="703"/>
      <c r="AW44" s="703"/>
      <c r="AX44" s="703"/>
      <c r="AY44" s="703"/>
      <c r="AZ44" s="703"/>
      <c r="BA44" s="703"/>
      <c r="BB44" s="703"/>
      <c r="BC44" s="703"/>
      <c r="BD44" s="703"/>
      <c r="BE44" s="703"/>
      <c r="BG44" s="122"/>
      <c r="BH44" s="122"/>
      <c r="BI44" s="122"/>
      <c r="BJ44" s="122"/>
      <c r="BK44" s="122"/>
      <c r="BL44" s="120"/>
      <c r="BM44" s="120"/>
      <c r="BN44" s="120"/>
      <c r="BO44" s="120"/>
      <c r="BP44" s="120"/>
      <c r="BQ44" s="120"/>
      <c r="BR44" s="120"/>
      <c r="BS44" s="120"/>
      <c r="BT44" s="120"/>
      <c r="BU44" s="120"/>
      <c r="BV44" s="120"/>
      <c r="BW44" s="120"/>
      <c r="BX44" s="120"/>
      <c r="BY44" s="120"/>
      <c r="BZ44" s="120"/>
      <c r="CA44" s="120"/>
      <c r="CB44" s="120"/>
      <c r="CC44" s="120"/>
      <c r="CD44" s="120"/>
    </row>
    <row r="45" spans="1:82" s="110" customFormat="1" ht="43.55" customHeight="1">
      <c r="A45" s="197"/>
      <c r="B45" s="468" t="s">
        <v>832</v>
      </c>
      <c r="C45" s="523" t="str">
        <f t="shared" si="11"/>
        <v>Not Applicable</v>
      </c>
      <c r="D45" s="517"/>
      <c r="E45" s="517"/>
      <c r="F45" s="517"/>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3"/>
      <c r="AM45" s="703"/>
      <c r="AN45" s="703"/>
      <c r="AO45" s="703"/>
      <c r="AP45" s="703"/>
      <c r="AQ45" s="703"/>
      <c r="AR45" s="703"/>
      <c r="AS45" s="703"/>
      <c r="AT45" s="703"/>
      <c r="AU45" s="703"/>
      <c r="AV45" s="703"/>
      <c r="AW45" s="703"/>
      <c r="AX45" s="703"/>
      <c r="AY45" s="703"/>
      <c r="AZ45" s="703"/>
      <c r="BA45" s="703"/>
      <c r="BB45" s="703"/>
      <c r="BC45" s="703"/>
      <c r="BD45" s="703"/>
      <c r="BE45" s="703"/>
      <c r="BG45" s="122"/>
      <c r="BH45" s="122"/>
      <c r="BI45" s="122"/>
      <c r="BJ45" s="122"/>
      <c r="BK45" s="122"/>
      <c r="BL45" s="120"/>
      <c r="BM45" s="120"/>
      <c r="BN45" s="120"/>
      <c r="BO45" s="120"/>
      <c r="BP45" s="120"/>
      <c r="BQ45" s="120"/>
      <c r="BR45" s="120"/>
      <c r="BS45" s="120"/>
      <c r="BT45" s="120"/>
      <c r="BU45" s="120"/>
      <c r="BV45" s="120"/>
      <c r="BW45" s="120"/>
      <c r="BX45" s="120"/>
      <c r="BY45" s="120"/>
      <c r="BZ45" s="120"/>
      <c r="CA45" s="120"/>
      <c r="CB45" s="120"/>
      <c r="CC45" s="120"/>
      <c r="CD45" s="120"/>
    </row>
    <row r="46" spans="1:82" s="110" customFormat="1" ht="43.55" customHeight="1">
      <c r="A46" s="197"/>
      <c r="B46" s="468" t="s">
        <v>833</v>
      </c>
      <c r="C46" s="523" t="str">
        <f t="shared" si="11"/>
        <v>Not Applicable</v>
      </c>
      <c r="D46" s="517"/>
      <c r="E46" s="517"/>
      <c r="F46" s="517"/>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3"/>
      <c r="AM46" s="703"/>
      <c r="AN46" s="703"/>
      <c r="AO46" s="703"/>
      <c r="AP46" s="703"/>
      <c r="AQ46" s="703"/>
      <c r="AR46" s="703"/>
      <c r="AS46" s="703"/>
      <c r="AT46" s="703"/>
      <c r="AU46" s="703"/>
      <c r="AV46" s="703"/>
      <c r="AW46" s="703"/>
      <c r="AX46" s="703"/>
      <c r="AY46" s="703"/>
      <c r="AZ46" s="703"/>
      <c r="BA46" s="703"/>
      <c r="BB46" s="703"/>
      <c r="BC46" s="703"/>
      <c r="BD46" s="703"/>
      <c r="BE46" s="703"/>
      <c r="BG46" s="122"/>
      <c r="BH46" s="122"/>
      <c r="BI46" s="122"/>
      <c r="BJ46" s="122"/>
      <c r="BK46" s="122"/>
      <c r="BL46" s="120"/>
      <c r="BM46" s="120"/>
      <c r="BN46" s="120"/>
      <c r="BO46" s="120"/>
      <c r="BP46" s="120"/>
      <c r="BQ46" s="120"/>
      <c r="BR46" s="120"/>
      <c r="BS46" s="120"/>
      <c r="BT46" s="120"/>
      <c r="BU46" s="120"/>
      <c r="BV46" s="120"/>
      <c r="BW46" s="120"/>
      <c r="BX46" s="120"/>
      <c r="BY46" s="120"/>
      <c r="BZ46" s="120"/>
      <c r="CA46" s="120"/>
      <c r="CB46" s="120"/>
      <c r="CC46" s="120"/>
      <c r="CD46" s="120"/>
    </row>
    <row r="47" spans="1:82" s="110" customFormat="1" ht="43.55" customHeight="1">
      <c r="A47" s="197"/>
      <c r="B47" s="468" t="s">
        <v>834</v>
      </c>
      <c r="C47" s="523" t="str">
        <f t="shared" si="11"/>
        <v>Not Applicable</v>
      </c>
      <c r="D47" s="517"/>
      <c r="E47" s="517"/>
      <c r="F47" s="517"/>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3"/>
      <c r="AM47" s="703"/>
      <c r="AN47" s="703"/>
      <c r="AO47" s="703"/>
      <c r="AP47" s="703"/>
      <c r="AQ47" s="703"/>
      <c r="AR47" s="703"/>
      <c r="AS47" s="703"/>
      <c r="AT47" s="703"/>
      <c r="AU47" s="703"/>
      <c r="AV47" s="703"/>
      <c r="AW47" s="703"/>
      <c r="AX47" s="703"/>
      <c r="AY47" s="703"/>
      <c r="AZ47" s="703"/>
      <c r="BA47" s="703"/>
      <c r="BB47" s="703"/>
      <c r="BC47" s="703"/>
      <c r="BD47" s="703"/>
      <c r="BE47" s="703"/>
      <c r="BG47" s="122"/>
      <c r="BH47" s="122"/>
      <c r="BI47" s="122"/>
      <c r="BJ47" s="122"/>
      <c r="BK47" s="122"/>
      <c r="BL47" s="120"/>
      <c r="BM47" s="120"/>
      <c r="BN47" s="120"/>
      <c r="BO47" s="120"/>
      <c r="BP47" s="120"/>
      <c r="BQ47" s="120"/>
      <c r="BR47" s="120"/>
      <c r="BS47" s="120"/>
      <c r="BT47" s="120"/>
      <c r="BU47" s="120"/>
      <c r="BV47" s="120"/>
      <c r="BW47" s="120"/>
      <c r="BX47" s="120"/>
      <c r="BY47" s="120"/>
      <c r="BZ47" s="120"/>
      <c r="CA47" s="120"/>
      <c r="CB47" s="120"/>
      <c r="CC47" s="120"/>
      <c r="CD47" s="120"/>
    </row>
    <row r="48" spans="1:82" s="110" customFormat="1" ht="43.55" customHeight="1">
      <c r="A48" s="197"/>
      <c r="B48" s="468" t="s">
        <v>835</v>
      </c>
      <c r="C48" s="523" t="str">
        <f t="shared" si="11"/>
        <v>Not Applicable</v>
      </c>
      <c r="D48" s="517"/>
      <c r="E48" s="517"/>
      <c r="F48" s="517"/>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703"/>
      <c r="AM48" s="703"/>
      <c r="AN48" s="703"/>
      <c r="AO48" s="703"/>
      <c r="AP48" s="703"/>
      <c r="AQ48" s="703"/>
      <c r="AR48" s="703"/>
      <c r="AS48" s="703"/>
      <c r="AT48" s="703"/>
      <c r="AU48" s="703"/>
      <c r="AV48" s="703"/>
      <c r="AW48" s="703"/>
      <c r="AX48" s="703"/>
      <c r="AY48" s="703"/>
      <c r="AZ48" s="703"/>
      <c r="BA48" s="703"/>
      <c r="BB48" s="703"/>
      <c r="BC48" s="703"/>
      <c r="BD48" s="703"/>
      <c r="BE48" s="703"/>
      <c r="BG48" s="122"/>
      <c r="BH48" s="122"/>
      <c r="BI48" s="122"/>
      <c r="BJ48" s="122"/>
      <c r="BK48" s="122"/>
      <c r="BL48" s="120"/>
      <c r="BM48" s="120"/>
      <c r="BN48" s="120"/>
      <c r="BO48" s="120"/>
      <c r="BP48" s="120"/>
      <c r="BQ48" s="120"/>
      <c r="BR48" s="120"/>
      <c r="BS48" s="120"/>
      <c r="BT48" s="120"/>
      <c r="BU48" s="120"/>
      <c r="BV48" s="120"/>
      <c r="BW48" s="120"/>
      <c r="BX48" s="120"/>
      <c r="BY48" s="120"/>
      <c r="BZ48" s="120"/>
      <c r="CA48" s="120"/>
      <c r="CB48" s="120"/>
      <c r="CC48" s="120"/>
      <c r="CD48" s="120"/>
    </row>
    <row r="49" spans="1:82" s="110" customFormat="1" ht="43.55" customHeight="1">
      <c r="A49" s="197"/>
      <c r="B49" s="468" t="s">
        <v>836</v>
      </c>
      <c r="C49" s="523" t="str">
        <f t="shared" si="11"/>
        <v>Not Applicable</v>
      </c>
      <c r="D49" s="517"/>
      <c r="E49" s="517"/>
      <c r="F49" s="517"/>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3"/>
      <c r="AM49" s="703"/>
      <c r="AN49" s="703"/>
      <c r="AO49" s="703"/>
      <c r="AP49" s="703"/>
      <c r="AQ49" s="703"/>
      <c r="AR49" s="703"/>
      <c r="AS49" s="703"/>
      <c r="AT49" s="703"/>
      <c r="AU49" s="703"/>
      <c r="AV49" s="703"/>
      <c r="AW49" s="703"/>
      <c r="AX49" s="703"/>
      <c r="AY49" s="703"/>
      <c r="AZ49" s="703"/>
      <c r="BA49" s="703"/>
      <c r="BB49" s="703"/>
      <c r="BC49" s="703"/>
      <c r="BD49" s="703"/>
      <c r="BE49" s="703"/>
      <c r="BG49" s="122"/>
      <c r="BH49" s="122"/>
      <c r="BI49" s="122"/>
      <c r="BJ49" s="122"/>
      <c r="BK49" s="122"/>
      <c r="BL49" s="120"/>
      <c r="BM49" s="120"/>
      <c r="BN49" s="120"/>
      <c r="BO49" s="120"/>
      <c r="BP49" s="120"/>
      <c r="BQ49" s="120"/>
      <c r="BR49" s="120"/>
      <c r="BS49" s="120"/>
      <c r="BT49" s="120"/>
      <c r="BU49" s="120"/>
      <c r="BV49" s="120"/>
      <c r="BW49" s="120"/>
      <c r="BX49" s="120"/>
      <c r="BY49" s="120"/>
      <c r="BZ49" s="120"/>
      <c r="CA49" s="120"/>
      <c r="CB49" s="120"/>
      <c r="CC49" s="120"/>
      <c r="CD49" s="120"/>
    </row>
    <row r="50" spans="1:82" s="110" customFormat="1" ht="43.55" customHeight="1">
      <c r="A50" s="197"/>
      <c r="B50" s="468" t="s">
        <v>837</v>
      </c>
      <c r="C50" s="523" t="str">
        <f t="shared" si="11"/>
        <v>Not Applicable</v>
      </c>
      <c r="D50" s="517"/>
      <c r="E50" s="517"/>
      <c r="F50" s="517"/>
      <c r="G50" s="703"/>
      <c r="H50" s="703"/>
      <c r="I50" s="703"/>
      <c r="J50" s="703"/>
      <c r="K50" s="703"/>
      <c r="L50" s="703"/>
      <c r="M50" s="703"/>
      <c r="N50" s="703"/>
      <c r="O50" s="703"/>
      <c r="P50" s="703"/>
      <c r="Q50" s="703"/>
      <c r="R50" s="703"/>
      <c r="S50" s="703"/>
      <c r="T50" s="703"/>
      <c r="U50" s="703"/>
      <c r="V50" s="703"/>
      <c r="W50" s="703"/>
      <c r="X50" s="703"/>
      <c r="Y50" s="703"/>
      <c r="Z50" s="703"/>
      <c r="AA50" s="703"/>
      <c r="AB50" s="703"/>
      <c r="AC50" s="703"/>
      <c r="AD50" s="703"/>
      <c r="AE50" s="703"/>
      <c r="AF50" s="703"/>
      <c r="AG50" s="703"/>
      <c r="AH50" s="703"/>
      <c r="AI50" s="703"/>
      <c r="AJ50" s="703"/>
      <c r="AK50" s="703"/>
      <c r="AL50" s="703"/>
      <c r="AM50" s="703"/>
      <c r="AN50" s="703"/>
      <c r="AO50" s="703"/>
      <c r="AP50" s="703"/>
      <c r="AQ50" s="703"/>
      <c r="AR50" s="703"/>
      <c r="AS50" s="703"/>
      <c r="AT50" s="703"/>
      <c r="AU50" s="703"/>
      <c r="AV50" s="703"/>
      <c r="AW50" s="703"/>
      <c r="AX50" s="703"/>
      <c r="AY50" s="703"/>
      <c r="AZ50" s="703"/>
      <c r="BA50" s="703"/>
      <c r="BB50" s="703"/>
      <c r="BC50" s="703"/>
      <c r="BD50" s="703"/>
      <c r="BE50" s="703"/>
      <c r="BG50" s="122"/>
      <c r="BH50" s="122"/>
      <c r="BI50" s="122"/>
      <c r="BJ50" s="122"/>
      <c r="BK50" s="122"/>
      <c r="BL50" s="120"/>
      <c r="BM50" s="120"/>
      <c r="BN50" s="120"/>
      <c r="BO50" s="120"/>
      <c r="BP50" s="120"/>
      <c r="BQ50" s="120"/>
      <c r="BR50" s="120"/>
      <c r="BS50" s="120"/>
      <c r="BT50" s="120"/>
      <c r="BU50" s="120"/>
      <c r="BV50" s="120"/>
      <c r="BW50" s="120"/>
      <c r="BX50" s="120"/>
      <c r="BY50" s="120"/>
      <c r="BZ50" s="120"/>
      <c r="CA50" s="120"/>
      <c r="CB50" s="120"/>
      <c r="CC50" s="120"/>
      <c r="CD50" s="120"/>
    </row>
    <row r="51" spans="1:82" s="110" customFormat="1">
      <c r="BG51" s="122"/>
      <c r="BH51" s="122"/>
      <c r="BI51" s="122"/>
      <c r="BJ51" s="122"/>
      <c r="BK51" s="122"/>
      <c r="BL51" s="120"/>
      <c r="BM51" s="120"/>
      <c r="BN51" s="120"/>
      <c r="BO51" s="120"/>
      <c r="BP51" s="120"/>
      <c r="BQ51" s="120"/>
      <c r="BR51" s="120"/>
      <c r="BS51" s="120"/>
      <c r="BT51" s="120"/>
      <c r="BU51" s="120"/>
      <c r="BV51" s="120"/>
      <c r="BW51" s="120"/>
      <c r="BX51" s="120"/>
      <c r="BY51" s="120"/>
      <c r="BZ51" s="120"/>
      <c r="CA51" s="120"/>
      <c r="CB51" s="120"/>
      <c r="CC51" s="120"/>
      <c r="CD51" s="120"/>
    </row>
    <row r="52" spans="1:82" s="110" customFormat="1">
      <c r="A52" s="513" t="s">
        <v>97</v>
      </c>
      <c r="BG52" s="122"/>
      <c r="BH52" s="122"/>
      <c r="BI52" s="122"/>
      <c r="BJ52" s="122"/>
      <c r="BK52" s="122"/>
      <c r="BL52" s="120"/>
      <c r="BM52" s="120"/>
      <c r="BN52" s="120"/>
      <c r="BO52" s="120"/>
      <c r="BP52" s="120"/>
      <c r="BQ52" s="120"/>
      <c r="BR52" s="120"/>
      <c r="BS52" s="120"/>
      <c r="BT52" s="120"/>
      <c r="BU52" s="120"/>
      <c r="BV52" s="120"/>
      <c r="BW52" s="120"/>
      <c r="BX52" s="120"/>
      <c r="BY52" s="120"/>
      <c r="BZ52" s="120"/>
      <c r="CA52" s="120"/>
      <c r="CB52" s="120"/>
      <c r="CC52" s="120"/>
      <c r="CD52" s="120"/>
    </row>
    <row r="53" spans="1:82" s="110" customFormat="1">
      <c r="A53" s="514" t="str">
        <f>+Info!B1</f>
        <v>Ficheiro Apoio_LUMP SUM_V2026.02.24</v>
      </c>
      <c r="BG53" s="122"/>
      <c r="BH53" s="122"/>
      <c r="BI53" s="122"/>
      <c r="BJ53" s="122"/>
      <c r="BK53" s="122"/>
      <c r="BL53" s="120"/>
      <c r="BM53" s="120"/>
      <c r="BN53" s="120"/>
      <c r="BO53" s="120"/>
      <c r="BP53" s="120"/>
      <c r="BQ53" s="120"/>
      <c r="BR53" s="120"/>
      <c r="BS53" s="120"/>
      <c r="BT53" s="120"/>
      <c r="BU53" s="120"/>
      <c r="BV53" s="120"/>
      <c r="BW53" s="120"/>
      <c r="BX53" s="120"/>
      <c r="BY53" s="120"/>
      <c r="BZ53" s="120"/>
      <c r="CA53" s="120"/>
      <c r="CB53" s="120"/>
      <c r="CC53" s="120"/>
      <c r="CD53" s="120"/>
    </row>
    <row r="54" spans="1:82" s="110" customFormat="1">
      <c r="BG54" s="122"/>
      <c r="BH54" s="122"/>
      <c r="BI54" s="122"/>
      <c r="BJ54" s="122"/>
      <c r="BK54" s="122"/>
      <c r="BL54" s="120"/>
      <c r="BM54" s="120"/>
      <c r="BN54" s="120"/>
      <c r="BO54" s="120"/>
      <c r="BP54" s="120"/>
      <c r="BQ54" s="120"/>
      <c r="BR54" s="120"/>
      <c r="BS54" s="120"/>
      <c r="BT54" s="120"/>
      <c r="BU54" s="120"/>
      <c r="BV54" s="120"/>
      <c r="BW54" s="120"/>
      <c r="BX54" s="120"/>
      <c r="BY54" s="120"/>
      <c r="BZ54" s="120"/>
      <c r="CA54" s="120"/>
      <c r="CB54" s="120"/>
      <c r="CC54" s="120"/>
      <c r="CD54" s="120"/>
    </row>
    <row r="55" spans="1:82" s="110" customFormat="1">
      <c r="BG55" s="122"/>
      <c r="BH55" s="122"/>
      <c r="BI55" s="122"/>
      <c r="BJ55" s="122"/>
      <c r="BK55" s="122"/>
      <c r="BL55" s="120"/>
      <c r="BM55" s="120"/>
      <c r="BN55" s="120"/>
      <c r="BO55" s="120"/>
      <c r="BP55" s="120"/>
      <c r="BQ55" s="120"/>
      <c r="BR55" s="120"/>
      <c r="BS55" s="120"/>
      <c r="BT55" s="120"/>
      <c r="BU55" s="120"/>
      <c r="BV55" s="120"/>
      <c r="BW55" s="120"/>
      <c r="BX55" s="120"/>
      <c r="BY55" s="120"/>
      <c r="BZ55" s="120"/>
      <c r="CA55" s="120"/>
      <c r="CB55" s="120"/>
      <c r="CC55" s="120"/>
      <c r="CD55" s="120"/>
    </row>
    <row r="56" spans="1:82" s="110" customFormat="1">
      <c r="BG56" s="122"/>
      <c r="BH56" s="122"/>
      <c r="BI56" s="122"/>
      <c r="BJ56" s="122"/>
      <c r="BK56" s="122"/>
      <c r="BL56" s="120"/>
      <c r="BM56" s="120"/>
      <c r="BN56" s="120"/>
      <c r="BO56" s="120"/>
      <c r="BP56" s="120"/>
      <c r="BQ56" s="120"/>
      <c r="BR56" s="120"/>
      <c r="BS56" s="120"/>
      <c r="BT56" s="120"/>
      <c r="BU56" s="120"/>
      <c r="BV56" s="120"/>
      <c r="BW56" s="120"/>
      <c r="BX56" s="120"/>
      <c r="BY56" s="120"/>
      <c r="BZ56" s="120"/>
      <c r="CA56" s="120"/>
      <c r="CB56" s="120"/>
      <c r="CC56" s="120"/>
      <c r="CD56" s="120"/>
    </row>
    <row r="57" spans="1:82" s="110" customFormat="1">
      <c r="BG57" s="122"/>
      <c r="BH57" s="122"/>
      <c r="BI57" s="122"/>
      <c r="BJ57" s="122"/>
      <c r="BK57" s="122"/>
      <c r="BL57" s="120"/>
      <c r="BM57" s="120"/>
      <c r="BN57" s="120"/>
      <c r="BO57" s="120"/>
      <c r="BP57" s="120"/>
      <c r="BQ57" s="120"/>
      <c r="BR57" s="120"/>
      <c r="BS57" s="120"/>
      <c r="BT57" s="120"/>
      <c r="BU57" s="120"/>
      <c r="BV57" s="120"/>
      <c r="BW57" s="120"/>
      <c r="BX57" s="120"/>
      <c r="BY57" s="120"/>
      <c r="BZ57" s="120"/>
      <c r="CA57" s="120"/>
      <c r="CB57" s="120"/>
      <c r="CC57" s="120"/>
      <c r="CD57" s="120"/>
    </row>
    <row r="58" spans="1:82" s="110" customFormat="1">
      <c r="BG58" s="122"/>
      <c r="BH58" s="122"/>
      <c r="BI58" s="122"/>
      <c r="BJ58" s="122"/>
      <c r="BK58" s="122"/>
      <c r="BL58" s="120"/>
      <c r="BM58" s="120"/>
      <c r="BN58" s="120"/>
      <c r="BO58" s="120"/>
      <c r="BP58" s="120"/>
      <c r="BQ58" s="120"/>
      <c r="BR58" s="120"/>
      <c r="BS58" s="120"/>
      <c r="BT58" s="120"/>
      <c r="BU58" s="120"/>
      <c r="BV58" s="120"/>
      <c r="BW58" s="120"/>
      <c r="BX58" s="120"/>
      <c r="BY58" s="120"/>
      <c r="BZ58" s="120"/>
      <c r="CA58" s="120"/>
      <c r="CB58" s="120"/>
      <c r="CC58" s="120"/>
      <c r="CD58" s="120"/>
    </row>
    <row r="59" spans="1:82" s="110" customFormat="1">
      <c r="BG59" s="122"/>
      <c r="BH59" s="122"/>
      <c r="BI59" s="122"/>
      <c r="BJ59" s="122"/>
      <c r="BK59" s="122"/>
      <c r="BL59" s="120"/>
      <c r="BM59" s="120"/>
      <c r="BN59" s="120"/>
      <c r="BO59" s="120"/>
      <c r="BP59" s="120"/>
      <c r="BQ59" s="120"/>
      <c r="BR59" s="120"/>
      <c r="BS59" s="120"/>
      <c r="BT59" s="120"/>
      <c r="BU59" s="120"/>
      <c r="BV59" s="120"/>
      <c r="BW59" s="120"/>
      <c r="BX59" s="120"/>
      <c r="BY59" s="120"/>
      <c r="BZ59" s="120"/>
      <c r="CA59" s="120"/>
      <c r="CB59" s="120"/>
      <c r="CC59" s="120"/>
      <c r="CD59" s="120"/>
    </row>
    <row r="60" spans="1:82" s="110" customFormat="1">
      <c r="BG60" s="122"/>
      <c r="BH60" s="122"/>
      <c r="BI60" s="122"/>
      <c r="BJ60" s="122"/>
      <c r="BK60" s="122"/>
      <c r="BL60" s="120"/>
      <c r="BM60" s="120"/>
      <c r="BN60" s="120"/>
      <c r="BO60" s="120"/>
      <c r="BP60" s="120"/>
      <c r="BQ60" s="120"/>
      <c r="BR60" s="120"/>
      <c r="BS60" s="120"/>
      <c r="BT60" s="120"/>
      <c r="BU60" s="120"/>
      <c r="BV60" s="120"/>
      <c r="BW60" s="120"/>
      <c r="BX60" s="120"/>
      <c r="BY60" s="120"/>
      <c r="BZ60" s="120"/>
      <c r="CA60" s="120"/>
      <c r="CB60" s="120"/>
      <c r="CC60" s="120"/>
      <c r="CD60" s="120"/>
    </row>
    <row r="61" spans="1:82" s="110" customFormat="1">
      <c r="BG61" s="122"/>
      <c r="BH61" s="122"/>
      <c r="BI61" s="122"/>
      <c r="BJ61" s="122"/>
      <c r="BK61" s="122"/>
      <c r="BL61" s="120"/>
      <c r="BM61" s="120"/>
      <c r="BN61" s="120"/>
      <c r="BO61" s="120"/>
      <c r="BP61" s="120"/>
      <c r="BQ61" s="120"/>
      <c r="BR61" s="120"/>
      <c r="BS61" s="120"/>
      <c r="BT61" s="120"/>
      <c r="BU61" s="120"/>
      <c r="BV61" s="120"/>
      <c r="BW61" s="120"/>
      <c r="BX61" s="120"/>
      <c r="BY61" s="120"/>
      <c r="BZ61" s="120"/>
      <c r="CA61" s="120"/>
      <c r="CB61" s="120"/>
      <c r="CC61" s="120"/>
      <c r="CD61" s="120"/>
    </row>
    <row r="62" spans="1:82" s="110" customFormat="1">
      <c r="BG62" s="122"/>
      <c r="BH62" s="122"/>
      <c r="BI62" s="122"/>
      <c r="BJ62" s="122"/>
      <c r="BK62" s="122"/>
      <c r="BL62" s="120"/>
      <c r="BM62" s="120"/>
      <c r="BN62" s="120"/>
      <c r="BO62" s="120"/>
      <c r="BP62" s="120"/>
      <c r="BQ62" s="120"/>
      <c r="BR62" s="120"/>
      <c r="BS62" s="120"/>
      <c r="BT62" s="120"/>
      <c r="BU62" s="120"/>
      <c r="BV62" s="120"/>
      <c r="BW62" s="120"/>
      <c r="BX62" s="120"/>
      <c r="BY62" s="120"/>
      <c r="BZ62" s="120"/>
      <c r="CA62" s="120"/>
      <c r="CB62" s="120"/>
      <c r="CC62" s="120"/>
      <c r="CD62" s="120"/>
    </row>
    <row r="63" spans="1:82" s="110" customFormat="1">
      <c r="BG63" s="122"/>
      <c r="BH63" s="122"/>
      <c r="BI63" s="122"/>
      <c r="BJ63" s="122"/>
      <c r="BK63" s="122"/>
      <c r="BL63" s="120"/>
      <c r="BM63" s="120"/>
      <c r="BN63" s="120"/>
      <c r="BO63" s="120"/>
      <c r="BP63" s="120"/>
      <c r="BQ63" s="120"/>
      <c r="BR63" s="120"/>
      <c r="BS63" s="120"/>
      <c r="BT63" s="120"/>
      <c r="BU63" s="120"/>
      <c r="BV63" s="120"/>
      <c r="BW63" s="120"/>
      <c r="BX63" s="120"/>
      <c r="BY63" s="120"/>
      <c r="BZ63" s="120"/>
      <c r="CA63" s="120"/>
      <c r="CB63" s="120"/>
      <c r="CC63" s="120"/>
      <c r="CD63" s="120"/>
    </row>
    <row r="64" spans="1:82" s="110" customFormat="1">
      <c r="BG64" s="122"/>
      <c r="BH64" s="122"/>
      <c r="BI64" s="122"/>
      <c r="BJ64" s="122"/>
      <c r="BK64" s="122"/>
      <c r="BL64" s="120"/>
      <c r="BM64" s="120"/>
      <c r="BN64" s="120"/>
      <c r="BO64" s="120"/>
      <c r="BP64" s="120"/>
      <c r="BQ64" s="120"/>
      <c r="BR64" s="120"/>
      <c r="BS64" s="120"/>
      <c r="BT64" s="120"/>
      <c r="BU64" s="120"/>
      <c r="BV64" s="120"/>
      <c r="BW64" s="120"/>
      <c r="BX64" s="120"/>
      <c r="BY64" s="120"/>
      <c r="BZ64" s="120"/>
      <c r="CA64" s="120"/>
      <c r="CB64" s="120"/>
      <c r="CC64" s="120"/>
      <c r="CD64" s="120"/>
    </row>
    <row r="65" spans="59:82" s="110" customFormat="1">
      <c r="BG65" s="122"/>
      <c r="BH65" s="122"/>
      <c r="BI65" s="122"/>
      <c r="BJ65" s="122"/>
      <c r="BK65" s="122"/>
      <c r="BL65" s="120"/>
      <c r="BM65" s="120"/>
      <c r="BN65" s="120"/>
      <c r="BO65" s="120"/>
      <c r="BP65" s="120"/>
      <c r="BQ65" s="120"/>
      <c r="BR65" s="120"/>
      <c r="BS65" s="120"/>
      <c r="BT65" s="120"/>
      <c r="BU65" s="120"/>
      <c r="BV65" s="120"/>
      <c r="BW65" s="120"/>
      <c r="BX65" s="120"/>
      <c r="BY65" s="120"/>
      <c r="BZ65" s="120"/>
      <c r="CA65" s="120"/>
      <c r="CB65" s="120"/>
      <c r="CC65" s="120"/>
      <c r="CD65" s="120"/>
    </row>
    <row r="66" spans="59:82" s="110" customFormat="1">
      <c r="BG66" s="122"/>
      <c r="BH66" s="122"/>
      <c r="BI66" s="122"/>
      <c r="BJ66" s="122"/>
      <c r="BK66" s="122"/>
      <c r="BL66" s="120"/>
      <c r="BM66" s="120"/>
      <c r="BN66" s="120"/>
      <c r="BO66" s="120"/>
      <c r="BP66" s="120"/>
      <c r="BQ66" s="120"/>
      <c r="BR66" s="120"/>
      <c r="BS66" s="120"/>
      <c r="BT66" s="120"/>
      <c r="BU66" s="120"/>
      <c r="BV66" s="120"/>
      <c r="BW66" s="120"/>
      <c r="BX66" s="120"/>
      <c r="BY66" s="120"/>
      <c r="BZ66" s="120"/>
      <c r="CA66" s="120"/>
      <c r="CB66" s="120"/>
      <c r="CC66" s="120"/>
      <c r="CD66" s="120"/>
    </row>
    <row r="67" spans="59:82" s="110" customFormat="1">
      <c r="BG67" s="122"/>
      <c r="BH67" s="122"/>
      <c r="BI67" s="122"/>
      <c r="BJ67" s="122"/>
      <c r="BK67" s="122"/>
      <c r="BL67" s="120"/>
      <c r="BM67" s="120"/>
      <c r="BN67" s="120"/>
      <c r="BO67" s="120"/>
      <c r="BP67" s="120"/>
      <c r="BQ67" s="120"/>
      <c r="BR67" s="120"/>
      <c r="BS67" s="120"/>
      <c r="BT67" s="120"/>
      <c r="BU67" s="120"/>
      <c r="BV67" s="120"/>
      <c r="BW67" s="120"/>
      <c r="BX67" s="120"/>
      <c r="BY67" s="120"/>
      <c r="BZ67" s="120"/>
      <c r="CA67" s="120"/>
      <c r="CB67" s="120"/>
      <c r="CC67" s="120"/>
      <c r="CD67" s="120"/>
    </row>
    <row r="68" spans="59:82" s="110" customFormat="1">
      <c r="BG68" s="122"/>
      <c r="BH68" s="122"/>
      <c r="BI68" s="122"/>
      <c r="BJ68" s="122"/>
      <c r="BK68" s="122"/>
      <c r="BL68" s="120"/>
      <c r="BM68" s="120"/>
      <c r="BN68" s="120"/>
      <c r="BO68" s="120"/>
      <c r="BP68" s="120"/>
      <c r="BQ68" s="120"/>
      <c r="BR68" s="120"/>
      <c r="BS68" s="120"/>
      <c r="BT68" s="120"/>
      <c r="BU68" s="120"/>
      <c r="BV68" s="120"/>
      <c r="BW68" s="120"/>
      <c r="BX68" s="120"/>
      <c r="BY68" s="120"/>
      <c r="BZ68" s="120"/>
      <c r="CA68" s="120"/>
      <c r="CB68" s="120"/>
      <c r="CC68" s="120"/>
      <c r="CD68" s="120"/>
    </row>
  </sheetData>
  <sheetProtection algorithmName="SHA-512" hashValue="PkSfyrr/8mXVLCd5nAHFv7qq0wO3uJeWCXQ8axIjOkgXf+5TDYWmvHtvZuRExvq/eD2Odd69HQE8RGQHOg8L8w==" saltValue="IqxLNqklHrQBNMAeAaAE6A==" spinCount="100000" sheet="1" objects="1" scenarios="1"/>
  <dataConsolidate/>
  <mergeCells count="30">
    <mergeCell ref="G43:BE43"/>
    <mergeCell ref="G49:BE49"/>
    <mergeCell ref="G50:BE50"/>
    <mergeCell ref="G44:BE44"/>
    <mergeCell ref="G45:BE45"/>
    <mergeCell ref="G46:BE46"/>
    <mergeCell ref="G47:BE47"/>
    <mergeCell ref="G48:BE48"/>
    <mergeCell ref="G38:BE38"/>
    <mergeCell ref="G39:BE39"/>
    <mergeCell ref="G40:BE40"/>
    <mergeCell ref="G41:BE41"/>
    <mergeCell ref="G42:BE42"/>
    <mergeCell ref="G34:BE34"/>
    <mergeCell ref="G35:BE35"/>
    <mergeCell ref="G36:BE36"/>
    <mergeCell ref="G37:BE37"/>
    <mergeCell ref="B3:I3"/>
    <mergeCell ref="G31:BE31"/>
    <mergeCell ref="B30:BE30"/>
    <mergeCell ref="G32:BE32"/>
    <mergeCell ref="G33:BE33"/>
    <mergeCell ref="BL2:BO2"/>
    <mergeCell ref="AT1:BE1"/>
    <mergeCell ref="B1:I1"/>
    <mergeCell ref="J1:U1"/>
    <mergeCell ref="V1:AG1"/>
    <mergeCell ref="AH1:AS1"/>
    <mergeCell ref="BF2:BF3"/>
    <mergeCell ref="BG2:BG3"/>
  </mergeCells>
  <conditionalFormatting sqref="C31:C50">
    <cfRule type="containsText" dxfId="380" priority="4" operator="containsText" text="Not Applicable">
      <formula>NOT(ISERROR(SEARCH("Not Applicable",C31)))</formula>
    </cfRule>
    <cfRule type="containsBlanks" dxfId="379" priority="5">
      <formula>LEN(TRIM(C31))=0</formula>
    </cfRule>
  </conditionalFormatting>
  <conditionalFormatting sqref="C4:H23">
    <cfRule type="containsBlanks" dxfId="378" priority="10">
      <formula>LEN(TRIM(C4))=0</formula>
    </cfRule>
  </conditionalFormatting>
  <conditionalFormatting sqref="J3:BE3">
    <cfRule type="cellIs" dxfId="377" priority="8" operator="equal">
      <formula>1</formula>
    </cfRule>
    <cfRule type="cellIs" dxfId="376" priority="9" operator="equal">
      <formula>0</formula>
    </cfRule>
  </conditionalFormatting>
  <conditionalFormatting sqref="J4:BE23">
    <cfRule type="cellIs" dxfId="375" priority="11" stopIfTrue="1" operator="equal">
      <formula>0</formula>
    </cfRule>
    <cfRule type="cellIs" dxfId="374" priority="12" operator="equal">
      <formula>1</formula>
    </cfRule>
  </conditionalFormatting>
  <conditionalFormatting sqref="BF4:BF23">
    <cfRule type="containsText" dxfId="373" priority="6" operator="containsText" text="alert">
      <formula>NOT(ISERROR(SEARCH("alert",BF4)))</formula>
    </cfRule>
  </conditionalFormatting>
  <conditionalFormatting sqref="BG2:BG3">
    <cfRule type="containsText" dxfId="372" priority="3" operator="containsText" text="ERROR!">
      <formula>NOT(ISERROR(SEARCH("ERROR!",BG2)))</formula>
    </cfRule>
  </conditionalFormatting>
  <conditionalFormatting sqref="BG4:BG23">
    <cfRule type="containsText" dxfId="371" priority="2" operator="containsText" text="alert">
      <formula>NOT(ISERROR(SEARCH("alert",BG4)))</formula>
    </cfRule>
  </conditionalFormatting>
  <conditionalFormatting sqref="BG4:BG23">
    <cfRule type="containsText" dxfId="370" priority="1" operator="containsText" text="ERROR!">
      <formula>NOT(ISERROR(SEARCH("ERROR!",BG4)))</formula>
    </cfRule>
  </conditionalFormatting>
  <dataValidations count="3">
    <dataValidation allowBlank="1" showInputMessage="1" showErrorMessage="1" promptTitle="(months)" prompt="(months)" sqref="H2" xr:uid="{96EB7D44-2862-4993-A42E-FE5B74C7BFEE}"/>
    <dataValidation allowBlank="1" showInputMessage="1" showErrorMessage="1" promptTitle="Person*month" prompt="Maximum number of PMs each team member can dedicate to each task." sqref="I2" xr:uid="{0520F202-F137-45C9-BE96-78FB5A3F3D2F}"/>
    <dataValidation allowBlank="1" showInputMessage="1" showErrorMessage="1" promptTitle="Start Month" prompt="The month of the begining of the task  (e.g.: 1 = 1st month of the project)." sqref="G2" xr:uid="{8710CEE7-A8BD-4296-B833-6523DF36DCE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xr:uid="{312A9255-FE60-4E00-81F5-AB9B9D9393D2}">
          <x14:formula1>
            <xm:f>1</xm:f>
          </x14:formula1>
          <x14:formula2>
            <xm:f>'1.G.Data'!C$14</xm:f>
          </x14:formula2>
          <xm:sqref>G4:G23</xm:sqref>
        </x14:dataValidation>
        <x14:dataValidation type="whole" allowBlank="1" showInputMessage="1" showErrorMessage="1" errorTitle="Duração máxima do Projeto" error="Erro! duração não compatível com a duração máxima do projeto" xr:uid="{67A0BD47-B15C-485B-A9A1-698B8606A6D5}">
          <x14:formula1>
            <xm:f>1</xm:f>
          </x14:formula1>
          <x14:formula2>
            <xm:f>'1.G.Data'!C$14+1-G4</xm:f>
          </x14:formula2>
          <xm:sqref>H4:H23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48CA-FCD9-4007-B33C-9C079C478C20}">
  <sheetPr>
    <tabColor theme="5" tint="-0.249977111117893"/>
  </sheetPr>
  <dimension ref="A1:DF73"/>
  <sheetViews>
    <sheetView topLeftCell="B1" zoomScale="80" zoomScaleNormal="80" workbookViewId="0">
      <pane xSplit="2" ySplit="3" topLeftCell="D4" activePane="bottomRight" state="frozen"/>
      <selection activeCell="F22" sqref="F22:J22"/>
      <selection pane="topRight" activeCell="F22" sqref="F22:J22"/>
      <selection pane="bottomLeft" activeCell="F22" sqref="F22:J22"/>
      <selection pane="bottomRight" activeCell="C4" sqref="C4"/>
    </sheetView>
  </sheetViews>
  <sheetFormatPr defaultColWidth="9.109375" defaultRowHeight="15.05"/>
  <cols>
    <col min="1" max="1" width="0" style="169" hidden="1" customWidth="1"/>
    <col min="2" max="2" width="12.44140625" style="169" customWidth="1"/>
    <col min="3" max="3" width="32.44140625" style="169" customWidth="1"/>
    <col min="4" max="4" width="16" style="169" customWidth="1"/>
    <col min="5" max="5" width="15.44140625" style="169" customWidth="1"/>
    <col min="6" max="6" width="10.44140625" style="169" customWidth="1"/>
    <col min="7" max="7" width="12" style="169" customWidth="1"/>
    <col min="8" max="8" width="9.44140625" style="169" customWidth="1"/>
    <col min="9" max="9" width="9.109375" style="169"/>
    <col min="10" max="57" width="2.44140625" style="169" customWidth="1"/>
    <col min="58" max="58" width="6.44140625" style="169" customWidth="1"/>
    <col min="59" max="77" width="5.109375" style="169" customWidth="1"/>
    <col min="78" max="78" width="7.44140625" style="164" customWidth="1"/>
    <col min="79" max="79" width="42.88671875" style="169" customWidth="1"/>
    <col min="80" max="81" width="13.5546875" style="169" customWidth="1"/>
    <col min="82" max="83" width="9.109375" style="169" hidden="1" customWidth="1"/>
    <col min="84" max="84" width="9.109375" style="304" hidden="1" customWidth="1"/>
    <col min="85" max="85" width="21.88671875" style="169" hidden="1" customWidth="1"/>
    <col min="86" max="86" width="9.109375" style="169" hidden="1" customWidth="1"/>
    <col min="87" max="87" width="11.109375" style="350" hidden="1" customWidth="1"/>
    <col min="88" max="88" width="9.109375" style="350" hidden="1" customWidth="1"/>
    <col min="89" max="89" width="9.44140625" style="350" hidden="1" customWidth="1"/>
    <col min="90" max="93" width="9.109375" style="350" hidden="1" customWidth="1"/>
    <col min="94" max="106" width="9.109375" style="169" hidden="1" customWidth="1"/>
    <col min="107" max="110" width="13.5546875" style="169" customWidth="1"/>
    <col min="111" max="16384" width="9.109375" style="169"/>
  </cols>
  <sheetData>
    <row r="1" spans="1:93" s="197" customFormat="1" ht="23.4" customHeight="1">
      <c r="B1" s="722" t="s">
        <v>853</v>
      </c>
      <c r="C1" s="722"/>
      <c r="D1" s="722"/>
      <c r="E1" s="722"/>
      <c r="F1" s="722"/>
      <c r="G1" s="722"/>
      <c r="H1" s="722"/>
      <c r="I1" s="723"/>
      <c r="J1" s="711">
        <f ca="1">IF(F29=0,(2025),YEAR(F29))</f>
        <v>2026</v>
      </c>
      <c r="K1" s="712"/>
      <c r="L1" s="712"/>
      <c r="M1" s="712"/>
      <c r="N1" s="712"/>
      <c r="O1" s="712"/>
      <c r="P1" s="712"/>
      <c r="Q1" s="712"/>
      <c r="R1" s="712"/>
      <c r="S1" s="712"/>
      <c r="T1" s="712"/>
      <c r="U1" s="713"/>
      <c r="V1" s="711">
        <f ca="1">+J1+1</f>
        <v>2027</v>
      </c>
      <c r="W1" s="712"/>
      <c r="X1" s="712"/>
      <c r="Y1" s="712"/>
      <c r="Z1" s="712"/>
      <c r="AA1" s="712"/>
      <c r="AB1" s="712"/>
      <c r="AC1" s="712"/>
      <c r="AD1" s="712"/>
      <c r="AE1" s="712"/>
      <c r="AF1" s="712"/>
      <c r="AG1" s="713"/>
      <c r="AH1" s="711">
        <f ca="1">+V1+1</f>
        <v>2028</v>
      </c>
      <c r="AI1" s="712"/>
      <c r="AJ1" s="712"/>
      <c r="AK1" s="712"/>
      <c r="AL1" s="712"/>
      <c r="AM1" s="712"/>
      <c r="AN1" s="712"/>
      <c r="AO1" s="712"/>
      <c r="AP1" s="712"/>
      <c r="AQ1" s="712"/>
      <c r="AR1" s="712"/>
      <c r="AS1" s="713"/>
      <c r="AT1" s="711">
        <f ca="1">+AH1+1</f>
        <v>2029</v>
      </c>
      <c r="AU1" s="712"/>
      <c r="AV1" s="712"/>
      <c r="AW1" s="712"/>
      <c r="AX1" s="712"/>
      <c r="AY1" s="712"/>
      <c r="AZ1" s="712"/>
      <c r="BA1" s="712"/>
      <c r="BB1" s="712"/>
      <c r="BC1" s="712"/>
      <c r="BD1" s="712"/>
      <c r="BE1" s="713"/>
      <c r="BF1" s="708" t="s">
        <v>866</v>
      </c>
      <c r="BG1" s="708"/>
      <c r="BH1" s="708"/>
      <c r="BI1" s="708"/>
      <c r="BJ1" s="708"/>
      <c r="BK1" s="708"/>
      <c r="BL1" s="708"/>
      <c r="BM1" s="708"/>
      <c r="BN1" s="708"/>
      <c r="BO1" s="708"/>
      <c r="BP1" s="708"/>
      <c r="BQ1" s="708"/>
      <c r="BR1" s="708"/>
      <c r="BS1" s="708"/>
      <c r="BT1" s="708"/>
      <c r="BU1" s="708"/>
      <c r="BV1" s="708"/>
      <c r="BW1" s="708"/>
      <c r="BX1" s="708"/>
      <c r="BY1" s="708"/>
      <c r="BZ1" s="296"/>
      <c r="CF1" s="297" t="s">
        <v>281</v>
      </c>
      <c r="CG1" s="197" t="s">
        <v>75</v>
      </c>
      <c r="CI1" s="349"/>
      <c r="CJ1" s="349"/>
      <c r="CK1" s="349"/>
      <c r="CL1" s="349"/>
      <c r="CM1" s="349"/>
      <c r="CN1" s="349"/>
      <c r="CO1" s="349"/>
    </row>
    <row r="2" spans="1:93">
      <c r="A2" s="169" t="s">
        <v>48</v>
      </c>
      <c r="B2" s="298" t="s">
        <v>709</v>
      </c>
      <c r="C2" s="298" t="s">
        <v>638</v>
      </c>
      <c r="D2" s="298" t="s">
        <v>639</v>
      </c>
      <c r="E2" s="298" t="s">
        <v>640</v>
      </c>
      <c r="F2" s="298" t="s">
        <v>641</v>
      </c>
      <c r="G2" s="298" t="s">
        <v>847</v>
      </c>
      <c r="H2" s="298" t="s">
        <v>642</v>
      </c>
      <c r="I2" s="299" t="s">
        <v>857</v>
      </c>
      <c r="J2" s="300" t="s">
        <v>2</v>
      </c>
      <c r="K2" s="301" t="s">
        <v>3</v>
      </c>
      <c r="L2" s="301" t="s">
        <v>4</v>
      </c>
      <c r="M2" s="301" t="s">
        <v>5</v>
      </c>
      <c r="N2" s="301" t="s">
        <v>4</v>
      </c>
      <c r="O2" s="301" t="s">
        <v>2</v>
      </c>
      <c r="P2" s="301" t="s">
        <v>2</v>
      </c>
      <c r="Q2" s="301" t="s">
        <v>5</v>
      </c>
      <c r="R2" s="301" t="s">
        <v>6</v>
      </c>
      <c r="S2" s="301" t="s">
        <v>7</v>
      </c>
      <c r="T2" s="301" t="s">
        <v>8</v>
      </c>
      <c r="U2" s="302" t="s">
        <v>9</v>
      </c>
      <c r="V2" s="300" t="s">
        <v>2</v>
      </c>
      <c r="W2" s="301" t="s">
        <v>3</v>
      </c>
      <c r="X2" s="301" t="s">
        <v>4</v>
      </c>
      <c r="Y2" s="301" t="s">
        <v>5</v>
      </c>
      <c r="Z2" s="301" t="s">
        <v>4</v>
      </c>
      <c r="AA2" s="301" t="s">
        <v>2</v>
      </c>
      <c r="AB2" s="301" t="s">
        <v>2</v>
      </c>
      <c r="AC2" s="301" t="s">
        <v>5</v>
      </c>
      <c r="AD2" s="301" t="s">
        <v>6</v>
      </c>
      <c r="AE2" s="301" t="s">
        <v>7</v>
      </c>
      <c r="AF2" s="301" t="s">
        <v>8</v>
      </c>
      <c r="AG2" s="302" t="s">
        <v>9</v>
      </c>
      <c r="AH2" s="300" t="s">
        <v>2</v>
      </c>
      <c r="AI2" s="301" t="s">
        <v>3</v>
      </c>
      <c r="AJ2" s="301" t="s">
        <v>4</v>
      </c>
      <c r="AK2" s="301" t="s">
        <v>5</v>
      </c>
      <c r="AL2" s="301" t="s">
        <v>4</v>
      </c>
      <c r="AM2" s="301" t="s">
        <v>2</v>
      </c>
      <c r="AN2" s="301" t="s">
        <v>2</v>
      </c>
      <c r="AO2" s="301" t="s">
        <v>5</v>
      </c>
      <c r="AP2" s="301" t="s">
        <v>6</v>
      </c>
      <c r="AQ2" s="301" t="s">
        <v>7</v>
      </c>
      <c r="AR2" s="301" t="s">
        <v>8</v>
      </c>
      <c r="AS2" s="302" t="s">
        <v>9</v>
      </c>
      <c r="AT2" s="300" t="s">
        <v>2</v>
      </c>
      <c r="AU2" s="301" t="s">
        <v>3</v>
      </c>
      <c r="AV2" s="301" t="s">
        <v>4</v>
      </c>
      <c r="AW2" s="301" t="s">
        <v>5</v>
      </c>
      <c r="AX2" s="301" t="s">
        <v>4</v>
      </c>
      <c r="AY2" s="301" t="s">
        <v>2</v>
      </c>
      <c r="AZ2" s="301" t="s">
        <v>2</v>
      </c>
      <c r="BA2" s="301" t="s">
        <v>5</v>
      </c>
      <c r="BB2" s="301" t="s">
        <v>6</v>
      </c>
      <c r="BC2" s="301" t="s">
        <v>7</v>
      </c>
      <c r="BD2" s="301" t="s">
        <v>8</v>
      </c>
      <c r="BE2" s="302" t="s">
        <v>9</v>
      </c>
      <c r="BF2" s="303" t="str">
        <f>IF('3.Tasks'!$C4="","S/T",'4.Team'!BF3)</f>
        <v>S/T</v>
      </c>
      <c r="BG2" s="303" t="str">
        <f>IF('3.Tasks'!$C5="","S/T",'4.Team'!BG3)</f>
        <v>S/T</v>
      </c>
      <c r="BH2" s="303" t="str">
        <f>IF('3.Tasks'!$C6="","S/T",'4.Team'!BH3)</f>
        <v>S/T</v>
      </c>
      <c r="BI2" s="303" t="str">
        <f>IF('3.Tasks'!$C7="","S/T",'4.Team'!BI3)</f>
        <v>S/T</v>
      </c>
      <c r="BJ2" s="303" t="str">
        <f>IF('3.Tasks'!$C8="","S/T",'4.Team'!BJ3)</f>
        <v>S/T</v>
      </c>
      <c r="BK2" s="303" t="str">
        <f>IF('3.Tasks'!$C9="","S/T",'4.Team'!BK3)</f>
        <v>S/T</v>
      </c>
      <c r="BL2" s="303" t="str">
        <f>IF('3.Tasks'!$C10="","S/T",'4.Team'!BL3)</f>
        <v>S/T</v>
      </c>
      <c r="BM2" s="303" t="str">
        <f>IF('3.Tasks'!$C11="","S/T",'4.Team'!BM3)</f>
        <v>S/T</v>
      </c>
      <c r="BN2" s="303" t="str">
        <f>IF('3.Tasks'!$C12="","S/T",'4.Team'!BN3)</f>
        <v>S/T</v>
      </c>
      <c r="BO2" s="303" t="str">
        <f>IF('3.Tasks'!$C13="","S/T",'4.Team'!BO3)</f>
        <v>S/T</v>
      </c>
      <c r="BP2" s="303" t="str">
        <f>IF('3.Tasks'!$C14="","S/T",'4.Team'!BP3)</f>
        <v>S/T</v>
      </c>
      <c r="BQ2" s="303" t="str">
        <f>IF('3.Tasks'!$C15="","S/T",'4.Team'!BQ3)</f>
        <v>S/T</v>
      </c>
      <c r="BR2" s="303" t="str">
        <f>IF('3.Tasks'!$C16="","S/T",'4.Team'!BR3)</f>
        <v>S/T</v>
      </c>
      <c r="BS2" s="303" t="str">
        <f>IF('3.Tasks'!$C17="","S/T",'4.Team'!BS3)</f>
        <v>S/T</v>
      </c>
      <c r="BT2" s="303" t="str">
        <f>IF('3.Tasks'!$C18="","S/T",'4.Team'!BT3)</f>
        <v>S/T</v>
      </c>
      <c r="BU2" s="303" t="str">
        <f>IF('3.Tasks'!$C19="","S/T",'4.Team'!BU3)</f>
        <v>S/T</v>
      </c>
      <c r="BV2" s="303" t="str">
        <f>IF('3.Tasks'!$C20="","S/T",'4.Team'!BV3)</f>
        <v>S/T</v>
      </c>
      <c r="BW2" s="303" t="str">
        <f>IF('3.Tasks'!$C21="","S/T",'4.Team'!BW3)</f>
        <v>S/T</v>
      </c>
      <c r="BX2" s="303" t="str">
        <f>IF('3.Tasks'!$C22="","S/T",'4.Team'!BX3)</f>
        <v>S/T</v>
      </c>
      <c r="BY2" s="303" t="str">
        <f>IF('3.Tasks'!$C23="","S/T",'4.Team'!BY3)</f>
        <v>S/T</v>
      </c>
      <c r="BZ2" s="301" t="s">
        <v>841</v>
      </c>
      <c r="CA2" s="301" t="s">
        <v>729</v>
      </c>
      <c r="CF2" s="304" t="s">
        <v>730</v>
      </c>
    </row>
    <row r="3" spans="1:93">
      <c r="B3" s="724" t="s">
        <v>284</v>
      </c>
      <c r="C3" s="725"/>
      <c r="D3" s="725"/>
      <c r="E3" s="725"/>
      <c r="F3" s="725"/>
      <c r="G3" s="725"/>
      <c r="H3" s="725"/>
      <c r="I3" s="725"/>
      <c r="J3" s="305">
        <f ca="1">+'4.Team'!J4</f>
        <v>0</v>
      </c>
      <c r="K3" s="306">
        <f ca="1">+'4.Team'!K4</f>
        <v>0</v>
      </c>
      <c r="L3" s="306" t="e">
        <f ca="1">+'4.Team'!L4</f>
        <v>#N/A</v>
      </c>
      <c r="M3" s="306" t="e">
        <f ca="1">+'4.Team'!M4</f>
        <v>#N/A</v>
      </c>
      <c r="N3" s="306" t="e">
        <f ca="1">+'4.Team'!N4</f>
        <v>#N/A</v>
      </c>
      <c r="O3" s="306" t="e">
        <f ca="1">+'4.Team'!O4</f>
        <v>#N/A</v>
      </c>
      <c r="P3" s="307" t="e">
        <f ca="1">+'4.Team'!P4</f>
        <v>#N/A</v>
      </c>
      <c r="Q3" s="307" t="e">
        <f ca="1">+'4.Team'!Q4</f>
        <v>#N/A</v>
      </c>
      <c r="R3" s="307" t="e">
        <f ca="1">+'4.Team'!R4</f>
        <v>#N/A</v>
      </c>
      <c r="S3" s="307" t="e">
        <f ca="1">+'4.Team'!S4</f>
        <v>#N/A</v>
      </c>
      <c r="T3" s="307" t="e">
        <f ca="1">+'4.Team'!T4</f>
        <v>#N/A</v>
      </c>
      <c r="U3" s="308" t="e">
        <f ca="1">+'4.Team'!U4</f>
        <v>#N/A</v>
      </c>
      <c r="V3" s="309" t="e">
        <f ca="1">+'4.Team'!V4</f>
        <v>#N/A</v>
      </c>
      <c r="W3" s="307" t="e">
        <f ca="1">+'4.Team'!W4</f>
        <v>#N/A</v>
      </c>
      <c r="X3" s="307" t="e">
        <f ca="1">+'4.Team'!X4</f>
        <v>#N/A</v>
      </c>
      <c r="Y3" s="307" t="e">
        <f ca="1">+'4.Team'!Y4</f>
        <v>#N/A</v>
      </c>
      <c r="Z3" s="307" t="e">
        <f ca="1">+'4.Team'!Z4</f>
        <v>#N/A</v>
      </c>
      <c r="AA3" s="307" t="e">
        <f ca="1">+'4.Team'!AA4</f>
        <v>#N/A</v>
      </c>
      <c r="AB3" s="307" t="e">
        <f ca="1">+'4.Team'!AB4</f>
        <v>#N/A</v>
      </c>
      <c r="AC3" s="307" t="e">
        <f ca="1">+'4.Team'!AC4</f>
        <v>#N/A</v>
      </c>
      <c r="AD3" s="307" t="e">
        <f ca="1">+'4.Team'!AD4</f>
        <v>#N/A</v>
      </c>
      <c r="AE3" s="307" t="e">
        <f ca="1">+'4.Team'!AE4</f>
        <v>#N/A</v>
      </c>
      <c r="AF3" s="307" t="e">
        <f ca="1">+'4.Team'!AF4</f>
        <v>#N/A</v>
      </c>
      <c r="AG3" s="308" t="e">
        <f ca="1">+'4.Team'!AG4</f>
        <v>#N/A</v>
      </c>
      <c r="AH3" s="305" t="e">
        <f ca="1">+'4.Team'!AH4</f>
        <v>#N/A</v>
      </c>
      <c r="AI3" s="306" t="e">
        <f ca="1">+'4.Team'!AI4</f>
        <v>#N/A</v>
      </c>
      <c r="AJ3" s="306" t="e">
        <f ca="1">+'4.Team'!AJ4</f>
        <v>#N/A</v>
      </c>
      <c r="AK3" s="306" t="e">
        <f ca="1">+'4.Team'!AK4</f>
        <v>#N/A</v>
      </c>
      <c r="AL3" s="306" t="e">
        <f ca="1">+'4.Team'!AL4</f>
        <v>#N/A</v>
      </c>
      <c r="AM3" s="306" t="e">
        <f ca="1">+'4.Team'!AM4</f>
        <v>#N/A</v>
      </c>
      <c r="AN3" s="306" t="e">
        <f ca="1">+'4.Team'!AN4</f>
        <v>#N/A</v>
      </c>
      <c r="AO3" s="306" t="e">
        <f ca="1">+'4.Team'!AO4</f>
        <v>#N/A</v>
      </c>
      <c r="AP3" s="306" t="e">
        <f ca="1">+'4.Team'!AP4</f>
        <v>#N/A</v>
      </c>
      <c r="AQ3" s="306" t="e">
        <f ca="1">+'4.Team'!AQ4</f>
        <v>#N/A</v>
      </c>
      <c r="AR3" s="306" t="e">
        <f ca="1">+'4.Team'!AR4</f>
        <v>#N/A</v>
      </c>
      <c r="AS3" s="310" t="e">
        <f ca="1">+'4.Team'!AS4</f>
        <v>#N/A</v>
      </c>
      <c r="AT3" s="305" t="e">
        <f ca="1">+'4.Team'!AT4</f>
        <v>#N/A</v>
      </c>
      <c r="AU3" s="306" t="e">
        <f ca="1">+'4.Team'!AU4</f>
        <v>#N/A</v>
      </c>
      <c r="AV3" s="306" t="e">
        <f ca="1">+'4.Team'!AV4</f>
        <v>#N/A</v>
      </c>
      <c r="AW3" s="306" t="e">
        <f ca="1">+'4.Team'!AW4</f>
        <v>#N/A</v>
      </c>
      <c r="AX3" s="306" t="e">
        <f ca="1">+'4.Team'!AX4</f>
        <v>#N/A</v>
      </c>
      <c r="AY3" s="306" t="e">
        <f ca="1">+'4.Team'!AY4</f>
        <v>#N/A</v>
      </c>
      <c r="AZ3" s="306" t="e">
        <f ca="1">+'4.Team'!AZ4</f>
        <v>#N/A</v>
      </c>
      <c r="BA3" s="306" t="e">
        <f ca="1">+'4.Team'!BA4</f>
        <v>#N/A</v>
      </c>
      <c r="BB3" s="306" t="e">
        <f ca="1">+'4.Team'!BB4</f>
        <v>#N/A</v>
      </c>
      <c r="BC3" s="306" t="e">
        <f ca="1">+'4.Team'!BC4</f>
        <v>#N/A</v>
      </c>
      <c r="BD3" s="306" t="e">
        <f ca="1">+'4.Team'!BD4</f>
        <v>#N/A</v>
      </c>
      <c r="BE3" s="310" t="e">
        <f ca="1">+'4.Team'!BE4</f>
        <v>#N/A</v>
      </c>
      <c r="BF3" s="311" t="s">
        <v>18</v>
      </c>
      <c r="BG3" s="312" t="s">
        <v>19</v>
      </c>
      <c r="BH3" s="312" t="s">
        <v>20</v>
      </c>
      <c r="BI3" s="312" t="s">
        <v>21</v>
      </c>
      <c r="BJ3" s="312" t="s">
        <v>22</v>
      </c>
      <c r="BK3" s="312" t="s">
        <v>23</v>
      </c>
      <c r="BL3" s="312" t="s">
        <v>24</v>
      </c>
      <c r="BM3" s="312" t="s">
        <v>25</v>
      </c>
      <c r="BN3" s="312" t="s">
        <v>26</v>
      </c>
      <c r="BO3" s="312" t="s">
        <v>27</v>
      </c>
      <c r="BP3" s="312" t="s">
        <v>28</v>
      </c>
      <c r="BQ3" s="312" t="s">
        <v>29</v>
      </c>
      <c r="BR3" s="312" t="s">
        <v>30</v>
      </c>
      <c r="BS3" s="312" t="s">
        <v>31</v>
      </c>
      <c r="BT3" s="312" t="s">
        <v>32</v>
      </c>
      <c r="BU3" s="312" t="s">
        <v>33</v>
      </c>
      <c r="BV3" s="312" t="s">
        <v>34</v>
      </c>
      <c r="BW3" s="312" t="s">
        <v>35</v>
      </c>
      <c r="BX3" s="312" t="s">
        <v>36</v>
      </c>
      <c r="BY3" s="312" t="s">
        <v>37</v>
      </c>
      <c r="BZ3" s="313"/>
      <c r="CA3" s="301"/>
      <c r="CF3" s="304" t="s">
        <v>865</v>
      </c>
    </row>
    <row r="4" spans="1:93">
      <c r="A4" s="169" t="s">
        <v>49</v>
      </c>
      <c r="B4" s="314" t="s">
        <v>614</v>
      </c>
      <c r="C4" s="314" t="str">
        <f>IF('1.G.Data'!C16="","",'1.G.Data'!C16)</f>
        <v/>
      </c>
      <c r="D4" s="314" t="str">
        <f>IF('1.G.Data'!C17="","",'1.G.Data'!C17)</f>
        <v/>
      </c>
      <c r="E4" s="315"/>
      <c r="F4" s="316"/>
      <c r="G4" s="317">
        <v>1</v>
      </c>
      <c r="H4" s="317">
        <f>IF(G4="","",'1.G.Data'!C$14)</f>
        <v>0</v>
      </c>
      <c r="I4" s="318">
        <f>ROUNDUP((H4*F4),2)</f>
        <v>0</v>
      </c>
      <c r="J4" s="319">
        <f ca="1">IF(G4="",0,IF($G4=J$29,1,0))*J$30</f>
        <v>0</v>
      </c>
      <c r="K4" s="320">
        <f ca="1">(IF(G4=K$28,1,IF((G4+H4)&lt;3,0,IF(G4&gt;K$28,0,1))))*K$30</f>
        <v>0</v>
      </c>
      <c r="L4" s="320" t="e">
        <f ca="1">(IF(SUM($J4:K4)&gt;($H4-1),0,IF($G4=L$28,1,IF(SUM($J4:K4)=0,0,1))))*L$30</f>
        <v>#N/A</v>
      </c>
      <c r="M4" s="320" t="e">
        <f ca="1">(IF(SUM($J4:L4)&gt;($H4-1),0,IF($G4=M$28,1,IF(SUM($J4:L4)=0,0,1))))*M$30</f>
        <v>#N/A</v>
      </c>
      <c r="N4" s="320" t="e">
        <f ca="1">(IF(SUM($J4:M4)&gt;($H4-1),0,IF($G4=N$28,1,IF(SUM($J4:M4)=0,0,1))))*N$30</f>
        <v>#N/A</v>
      </c>
      <c r="O4" s="320" t="e">
        <f ca="1">(IF(SUM($J4:N4)&gt;($H4-1),0,IF($G4=O$28,1,IF(SUM($J4:N4)=0,0,1))))*O$30</f>
        <v>#N/A</v>
      </c>
      <c r="P4" s="320" t="e">
        <f ca="1">(IF(SUM($J4:O4)&gt;($H4-1),0,IF($G4=P$28,1,IF(SUM($J4:O4)=0,0,1))))*P$30</f>
        <v>#N/A</v>
      </c>
      <c r="Q4" s="320" t="e">
        <f ca="1">(IF(SUM($J4:P4)&gt;($H4-1),0,IF($G4=Q$28,1,IF(SUM($J4:P4)=0,0,1))))*Q$30</f>
        <v>#N/A</v>
      </c>
      <c r="R4" s="320" t="e">
        <f ca="1">(IF(SUM($J4:Q4)&gt;($H4-1),0,IF($G4=R$28,1,IF(SUM($J4:Q4)=0,0,1))))*R$30</f>
        <v>#N/A</v>
      </c>
      <c r="S4" s="320" t="e">
        <f ca="1">(IF(SUM($J4:R4)&gt;($H4-1),0,IF($G4=S$28,1,IF(SUM($J4:R4)=0,0,1))))*S$30</f>
        <v>#N/A</v>
      </c>
      <c r="T4" s="320" t="e">
        <f ca="1">(IF(SUM($J4:S4)&gt;($H4-1),0,IF($G4=T$28,1,IF(SUM($J4:S4)=0,0,1))))*T$30</f>
        <v>#N/A</v>
      </c>
      <c r="U4" s="321" t="e">
        <f ca="1">(IF(SUM($J4:T4)&gt;($H4-1),0,IF($G4=U$28,1,IF(SUM($J4:T4)=0,0,1))))*U$30</f>
        <v>#N/A</v>
      </c>
      <c r="V4" s="319" t="e">
        <f ca="1">(IF(SUM($J4:U4)&gt;($H4-1),0,IF($G4=V$28,1,IF(SUM($J4:U4)=0,0,1))))*V$30</f>
        <v>#N/A</v>
      </c>
      <c r="W4" s="320" t="e">
        <f ca="1">(IF(SUM($J4:V4)&gt;($H4-1),0,IF($G4=W$28,1,IF(SUM($J4:V4)=0,0,1))))*W$30</f>
        <v>#N/A</v>
      </c>
      <c r="X4" s="320" t="e">
        <f ca="1">(IF(SUM($J4:W4)&gt;($H4-1),0,IF($G4=X$28,1,IF(SUM($J4:W4)=0,0,1))))*X$30</f>
        <v>#N/A</v>
      </c>
      <c r="Y4" s="320" t="e">
        <f ca="1">(IF(SUM($J4:X4)&gt;($H4-1),0,IF($G4=Y$28,1,IF(SUM($J4:X4)=0,0,1))))*Y$30</f>
        <v>#N/A</v>
      </c>
      <c r="Z4" s="320" t="e">
        <f ca="1">(IF(SUM($J4:Y4)&gt;($H4-1),0,IF($G4=Z$28,1,IF(SUM($J4:Y4)=0,0,1))))*Z$30</f>
        <v>#N/A</v>
      </c>
      <c r="AA4" s="320" t="e">
        <f ca="1">(IF(SUM($J4:Z4)&gt;($H4-1),0,IF($G4=AA$28,1,IF(SUM($J4:Z4)=0,0,1))))*AA$30</f>
        <v>#N/A</v>
      </c>
      <c r="AB4" s="320" t="e">
        <f ca="1">(IF(SUM($J4:AA4)&gt;($H4-1),0,IF($G4=AB$28,1,IF(SUM($J4:AA4)=0,0,1))))*AB$30</f>
        <v>#N/A</v>
      </c>
      <c r="AC4" s="320" t="e">
        <f ca="1">(IF(SUM($J4:AB4)&gt;($H4-1),0,IF($G4=AC$28,1,IF(SUM($J4:AB4)=0,0,1))))*AC$30</f>
        <v>#N/A</v>
      </c>
      <c r="AD4" s="320" t="e">
        <f ca="1">(IF(SUM($J4:AC4)&gt;($H4-1),0,IF($G4=AD$28,1,IF(SUM($J4:AC4)=0,0,1))))*AD$30</f>
        <v>#N/A</v>
      </c>
      <c r="AE4" s="320" t="e">
        <f ca="1">(IF(SUM($J4:AD4)&gt;($H4-1),0,IF($G4=AE$28,1,IF(SUM($J4:AD4)=0,0,1))))*AE$30</f>
        <v>#N/A</v>
      </c>
      <c r="AF4" s="320" t="e">
        <f ca="1">(IF(SUM($J4:AE4)&gt;($H4-1),0,IF($G4=AF$28,1,IF(SUM($J4:AE4)=0,0,1))))*AF$30</f>
        <v>#N/A</v>
      </c>
      <c r="AG4" s="321" t="e">
        <f ca="1">(IF(SUM($J4:AF4)&gt;($H4-1),0,IF($G4=AG$28,1,IF(SUM($J4:AF4)=0,0,1))))*AG$30</f>
        <v>#N/A</v>
      </c>
      <c r="AH4" s="319" t="e">
        <f ca="1">(IF(SUM($J4:AG4)&gt;($H4-1),0,IF($G4=AH$28,1,IF(SUM($J4:AG4)=0,0,1))))*AH$30</f>
        <v>#N/A</v>
      </c>
      <c r="AI4" s="320" t="e">
        <f ca="1">(IF(SUM($J4:AH4)&gt;($H4-1),0,IF($G4=AI$28,1,IF(SUM($J4:AH4)=0,0,1))))*AI$30</f>
        <v>#N/A</v>
      </c>
      <c r="AJ4" s="320" t="e">
        <f ca="1">(IF(SUM($J4:AI4)&gt;($H4-1),0,IF($G4=AJ$28,1,IF(SUM($J4:AI4)=0,0,1))))*AJ$30</f>
        <v>#N/A</v>
      </c>
      <c r="AK4" s="320" t="e">
        <f ca="1">(IF(SUM($J4:AJ4)&gt;($H4-1),0,IF($G4=AK$28,1,IF(SUM($J4:AJ4)=0,0,1))))*AK$30</f>
        <v>#N/A</v>
      </c>
      <c r="AL4" s="320" t="e">
        <f ca="1">(IF(SUM($J4:AK4)&gt;($H4-1),0,IF($G4=AL$28,1,IF(SUM($J4:AK4)=0,0,1))))*AL$30</f>
        <v>#N/A</v>
      </c>
      <c r="AM4" s="320" t="e">
        <f ca="1">(IF(SUM($J4:AL4)&gt;($H4-1),0,IF($G4=AM$28,1,IF(SUM($J4:AL4)=0,0,1))))*AM$30</f>
        <v>#N/A</v>
      </c>
      <c r="AN4" s="320" t="e">
        <f ca="1">(IF(SUM($J4:AM4)&gt;($H4-1),0,IF($G4=AN$28,1,IF(SUM($J4:AM4)=0,0,1))))*AN$30</f>
        <v>#N/A</v>
      </c>
      <c r="AO4" s="320" t="e">
        <f ca="1">(IF(SUM($J4:AN4)&gt;($H4-1),0,IF($G4=AO$28,1,IF(SUM($J4:AN4)=0,0,1))))*AO$30</f>
        <v>#N/A</v>
      </c>
      <c r="AP4" s="320" t="e">
        <f ca="1">(IF(SUM($J4:AO4)&gt;($H4-1),0,IF($G4=AP$28,1,IF(SUM($J4:AO4)=0,0,1))))*AP$30</f>
        <v>#N/A</v>
      </c>
      <c r="AQ4" s="320" t="e">
        <f ca="1">(IF(SUM($J4:AP4)&gt;($H4-1),0,IF($G4=AQ$28,1,IF(SUM($J4:AP4)=0,0,1))))*AQ$30</f>
        <v>#N/A</v>
      </c>
      <c r="AR4" s="320" t="e">
        <f ca="1">(IF(SUM($J4:AQ4)&gt;($H4-1),0,IF($G4=AR$28,1,IF(SUM($J4:AQ4)=0,0,1))))*AR$30</f>
        <v>#N/A</v>
      </c>
      <c r="AS4" s="321" t="e">
        <f ca="1">(IF(SUM($J4:AR4)&gt;($H4-1),0,IF($G4=AS$28,1,IF(SUM($J4:AR4)=0,0,1))))*AS$30</f>
        <v>#N/A</v>
      </c>
      <c r="AT4" s="319" t="e">
        <f ca="1">(IF(SUM($J4:AS4)&gt;($H4-1),0,IF($G4=AT$28,1,IF(SUM($J4:AS4)=0,0,1))))*AT$30</f>
        <v>#N/A</v>
      </c>
      <c r="AU4" s="320" t="e">
        <f ca="1">(IF(SUM($J4:AT4)&gt;($H4-1),0,IF($G4=AU$28,1,IF(SUM($J4:AT4)=0,0,1))))*AU$30</f>
        <v>#N/A</v>
      </c>
      <c r="AV4" s="320" t="e">
        <f ca="1">(IF(SUM($J4:AU4)&gt;($H4-1),0,IF($G4=AV$28,1,IF(SUM($J4:AU4)=0,0,1))))*AV$30</f>
        <v>#N/A</v>
      </c>
      <c r="AW4" s="320" t="e">
        <f ca="1">(IF(SUM($J4:AV4)&gt;($H4-1),0,IF($G4=AW$28,1,IF(SUM($J4:AV4)=0,0,1))))*AW$30</f>
        <v>#N/A</v>
      </c>
      <c r="AX4" s="320" t="e">
        <f ca="1">(IF(SUM($J4:AW4)&gt;($H4-1),0,IF($G4=AX$28,1,IF(SUM($J4:AW4)=0,0,1))))*AX$30</f>
        <v>#N/A</v>
      </c>
      <c r="AY4" s="320" t="e">
        <f ca="1">(IF(SUM($J4:AX4)&gt;($H4-1),0,IF($G4=AY$28,1,IF(SUM($J4:AX4)=0,0,1))))*AY$30</f>
        <v>#N/A</v>
      </c>
      <c r="AZ4" s="320" t="e">
        <f ca="1">(IF(SUM($J4:AY4)&gt;($H4-1),0,IF($G4=AZ$28,1,IF(SUM($J4:AY4)=0,0,1))))*AZ$30</f>
        <v>#N/A</v>
      </c>
      <c r="BA4" s="320" t="e">
        <f ca="1">(IF(SUM($J4:AZ4)&gt;($H4-1),0,IF($G4=BA$28,1,IF(SUM($J4:AZ4)=0,0,1))))*BA$30</f>
        <v>#N/A</v>
      </c>
      <c r="BB4" s="320" t="e">
        <f ca="1">(IF(SUM($J4:BA4)&gt;($H4-1),0,IF($G4=BB$28,1,IF(SUM($J4:BA4)=0,0,1))))*BB$30</f>
        <v>#N/A</v>
      </c>
      <c r="BC4" s="320" t="e">
        <f ca="1">(IF(SUM($J4:BB4)&gt;($H4-1),0,IF($G4=BC$28,1,IF(SUM($J4:BB4)=0,0,1))))*BC$30</f>
        <v>#N/A</v>
      </c>
      <c r="BD4" s="320" t="e">
        <f ca="1">(IF(SUM($J4:BC4)&gt;($H4-1),0,IF($G4=BD$28,1,IF(SUM($J4:BC4)=0,0,1))))*BD$30</f>
        <v>#N/A</v>
      </c>
      <c r="BE4" s="321" t="e">
        <f ca="1">(IF(SUM($J4:BD4)&gt;($H4-1),0,IF($G4=BE$28,1,IF(SUM($J4:BD4)=0,0,1))))*BE$30</f>
        <v>#N/A</v>
      </c>
      <c r="BF4" s="322"/>
      <c r="BG4" s="323"/>
      <c r="BH4" s="323"/>
      <c r="BI4" s="323"/>
      <c r="BJ4" s="323"/>
      <c r="BK4" s="323"/>
      <c r="BL4" s="323"/>
      <c r="BM4" s="323"/>
      <c r="BN4" s="323"/>
      <c r="BO4" s="323"/>
      <c r="BP4" s="323"/>
      <c r="BQ4" s="323"/>
      <c r="BR4" s="323"/>
      <c r="BS4" s="323"/>
      <c r="BT4" s="323"/>
      <c r="BU4" s="323"/>
      <c r="BV4" s="323"/>
      <c r="BW4" s="323"/>
      <c r="BX4" s="323"/>
      <c r="BY4" s="323"/>
      <c r="BZ4" s="324">
        <f>I4-(SUM(BF4:BY4))</f>
        <v>0</v>
      </c>
      <c r="CA4" s="325" t="str">
        <f>IF(BZ4=0,"",$CF$3)</f>
        <v/>
      </c>
      <c r="CG4" s="169">
        <f>+E4</f>
        <v>0</v>
      </c>
    </row>
    <row r="5" spans="1:93">
      <c r="A5" s="169" t="s">
        <v>50</v>
      </c>
      <c r="B5" s="314" t="s">
        <v>615</v>
      </c>
      <c r="C5" s="315"/>
      <c r="D5" s="315"/>
      <c r="E5" s="315"/>
      <c r="F5" s="316"/>
      <c r="G5" s="326"/>
      <c r="H5" s="315"/>
      <c r="I5" s="318">
        <f t="shared" ref="I5:I26" si="0">ROUNDUP((H5*F5),2)</f>
        <v>0</v>
      </c>
      <c r="J5" s="319">
        <f t="shared" ref="J5:J26" ca="1" si="1">IF(G5="",0,IF($G5=J$29,1,0))*J$30</f>
        <v>0</v>
      </c>
      <c r="K5" s="320">
        <f t="shared" ref="K5:K18" ca="1" si="2">(IF(G5=K$28,1,IF((G5+H5)&lt;3,0,IF(G5&gt;K$28,0,1))))*K$30</f>
        <v>0</v>
      </c>
      <c r="L5" s="320" t="e">
        <f ca="1">(IF(SUM($J5:K5)&gt;($H5-1),0,IF($G5=L$28,1,IF(SUM($J5:K5)=0,0,1))))*L$30</f>
        <v>#N/A</v>
      </c>
      <c r="M5" s="320" t="e">
        <f ca="1">(IF(SUM($J5:L5)&gt;($H5-1),0,IF($G5=M$28,1,IF(SUM($J5:L5)=0,0,1))))*M$30</f>
        <v>#N/A</v>
      </c>
      <c r="N5" s="320" t="e">
        <f ca="1">(IF(SUM($J5:M5)&gt;($H5-1),0,IF($G5=N$28,1,IF(SUM($J5:M5)=0,0,1))))*N$30</f>
        <v>#N/A</v>
      </c>
      <c r="O5" s="320" t="e">
        <f ca="1">(IF(SUM($J5:N5)&gt;($H5-1),0,IF($G5=O$28,1,IF(SUM($J5:N5)=0,0,1))))*O$30</f>
        <v>#N/A</v>
      </c>
      <c r="P5" s="320" t="e">
        <f ca="1">(IF(SUM($J5:O5)&gt;($H5-1),0,IF($G5=P$28,1,IF(SUM($J5:O5)=0,0,1))))*P$30</f>
        <v>#N/A</v>
      </c>
      <c r="Q5" s="320" t="e">
        <f ca="1">(IF(SUM($J5:P5)&gt;($H5-1),0,IF($G5=Q$28,1,IF(SUM($J5:P5)=0,0,1))))*Q$30</f>
        <v>#N/A</v>
      </c>
      <c r="R5" s="320" t="e">
        <f ca="1">(IF(SUM($J5:Q5)&gt;($H5-1),0,IF($G5=R$28,1,IF(SUM($J5:Q5)=0,0,1))))*R$30</f>
        <v>#N/A</v>
      </c>
      <c r="S5" s="320" t="e">
        <f ca="1">(IF(SUM($J5:R5)&gt;($H5-1),0,IF($G5=S$28,1,IF(SUM($J5:R5)=0,0,1))))*S$30</f>
        <v>#N/A</v>
      </c>
      <c r="T5" s="320" t="e">
        <f ca="1">(IF(SUM($J5:S5)&gt;($H5-1),0,IF($G5=T$28,1,IF(SUM($J5:S5)=0,0,1))))*T$30</f>
        <v>#N/A</v>
      </c>
      <c r="U5" s="321" t="e">
        <f ca="1">(IF(SUM($J5:T5)&gt;($H5-1),0,IF($G5=U$28,1,IF(SUM($J5:T5)=0,0,1))))*U$30</f>
        <v>#N/A</v>
      </c>
      <c r="V5" s="319" t="e">
        <f ca="1">(IF(SUM($J5:U5)&gt;($H5-1),0,IF($G5=V$28,1,IF(SUM($J5:U5)=0,0,1))))*V$30</f>
        <v>#N/A</v>
      </c>
      <c r="W5" s="320" t="e">
        <f ca="1">(IF(SUM($J5:V5)&gt;($H5-1),0,IF($G5=W$28,1,IF(SUM($J5:V5)=0,0,1))))*W$30</f>
        <v>#N/A</v>
      </c>
      <c r="X5" s="320" t="e">
        <f ca="1">(IF(SUM($J5:W5)&gt;($H5-1),0,IF($G5=X$28,1,IF(SUM($J5:W5)=0,0,1))))*X$30</f>
        <v>#N/A</v>
      </c>
      <c r="Y5" s="320" t="e">
        <f ca="1">(IF(SUM($J5:X5)&gt;($H5-1),0,IF($G5=Y$28,1,IF(SUM($J5:X5)=0,0,1))))*Y$30</f>
        <v>#N/A</v>
      </c>
      <c r="Z5" s="320" t="e">
        <f ca="1">(IF(SUM($J5:Y5)&gt;($H5-1),0,IF($G5=Z$28,1,IF(SUM($J5:Y5)=0,0,1))))*Z$30</f>
        <v>#N/A</v>
      </c>
      <c r="AA5" s="320" t="e">
        <f ca="1">(IF(SUM($J5:Z5)&gt;($H5-1),0,IF($G5=AA$28,1,IF(SUM($J5:Z5)=0,0,1))))*AA$30</f>
        <v>#N/A</v>
      </c>
      <c r="AB5" s="320" t="e">
        <f ca="1">(IF(SUM($J5:AA5)&gt;($H5-1),0,IF($G5=AB$28,1,IF(SUM($J5:AA5)=0,0,1))))*AB$30</f>
        <v>#N/A</v>
      </c>
      <c r="AC5" s="320" t="e">
        <f ca="1">(IF(SUM($J5:AB5)&gt;($H5-1),0,IF($G5=AC$28,1,IF(SUM($J5:AB5)=0,0,1))))*AC$30</f>
        <v>#N/A</v>
      </c>
      <c r="AD5" s="320" t="e">
        <f ca="1">(IF(SUM($J5:AC5)&gt;($H5-1),0,IF($G5=AD$28,1,IF(SUM($J5:AC5)=0,0,1))))*AD$30</f>
        <v>#N/A</v>
      </c>
      <c r="AE5" s="320" t="e">
        <f ca="1">(IF(SUM($J5:AD5)&gt;($H5-1),0,IF($G5=AE$28,1,IF(SUM($J5:AD5)=0,0,1))))*AE$30</f>
        <v>#N/A</v>
      </c>
      <c r="AF5" s="320" t="e">
        <f ca="1">(IF(SUM($J5:AE5)&gt;($H5-1),0,IF($G5=AF$28,1,IF(SUM($J5:AE5)=0,0,1))))*AF$30</f>
        <v>#N/A</v>
      </c>
      <c r="AG5" s="321" t="e">
        <f ca="1">(IF(SUM($J5:AF5)&gt;($H5-1),0,IF($G5=AG$28,1,IF(SUM($J5:AF5)=0,0,1))))*AG$30</f>
        <v>#N/A</v>
      </c>
      <c r="AH5" s="319" t="e">
        <f ca="1">(IF(SUM($J5:AG5)&gt;($H5-1),0,IF($G5=AH$28,1,IF(SUM($J5:AG5)=0,0,1))))*AH$30</f>
        <v>#N/A</v>
      </c>
      <c r="AI5" s="320" t="e">
        <f ca="1">(IF(SUM($J5:AH5)&gt;($H5-1),0,IF($G5=AI$28,1,IF(SUM($J5:AH5)=0,0,1))))*AI$30</f>
        <v>#N/A</v>
      </c>
      <c r="AJ5" s="320" t="e">
        <f ca="1">(IF(SUM($J5:AI5)&gt;($H5-1),0,IF($G5=AJ$28,1,IF(SUM($J5:AI5)=0,0,1))))*AJ$30</f>
        <v>#N/A</v>
      </c>
      <c r="AK5" s="320" t="e">
        <f ca="1">(IF(SUM($J5:AJ5)&gt;($H5-1),0,IF($G5=AK$28,1,IF(SUM($J5:AJ5)=0,0,1))))*AK$30</f>
        <v>#N/A</v>
      </c>
      <c r="AL5" s="320" t="e">
        <f ca="1">(IF(SUM($J5:AK5)&gt;($H5-1),0,IF($G5=AL$28,1,IF(SUM($J5:AK5)=0,0,1))))*AL$30</f>
        <v>#N/A</v>
      </c>
      <c r="AM5" s="320" t="e">
        <f ca="1">(IF(SUM($J5:AL5)&gt;($H5-1),0,IF($G5=AM$28,1,IF(SUM($J5:AL5)=0,0,1))))*AM$30</f>
        <v>#N/A</v>
      </c>
      <c r="AN5" s="320" t="e">
        <f ca="1">(IF(SUM($J5:AM5)&gt;($H5-1),0,IF($G5=AN$28,1,IF(SUM($J5:AM5)=0,0,1))))*AN$30</f>
        <v>#N/A</v>
      </c>
      <c r="AO5" s="320" t="e">
        <f ca="1">(IF(SUM($J5:AN5)&gt;($H5-1),0,IF($G5=AO$28,1,IF(SUM($J5:AN5)=0,0,1))))*AO$30</f>
        <v>#N/A</v>
      </c>
      <c r="AP5" s="320" t="e">
        <f ca="1">(IF(SUM($J5:AO5)&gt;($H5-1),0,IF($G5=AP$28,1,IF(SUM($J5:AO5)=0,0,1))))*AP$30</f>
        <v>#N/A</v>
      </c>
      <c r="AQ5" s="320" t="e">
        <f ca="1">(IF(SUM($J5:AP5)&gt;($H5-1),0,IF($G5=AQ$28,1,IF(SUM($J5:AP5)=0,0,1))))*AQ$30</f>
        <v>#N/A</v>
      </c>
      <c r="AR5" s="320" t="e">
        <f ca="1">(IF(SUM($J5:AQ5)&gt;($H5-1),0,IF($G5=AR$28,1,IF(SUM($J5:AQ5)=0,0,1))))*AR$30</f>
        <v>#N/A</v>
      </c>
      <c r="AS5" s="321" t="e">
        <f ca="1">(IF(SUM($J5:AR5)&gt;($H5-1),0,IF($G5=AS$28,1,IF(SUM($J5:AR5)=0,0,1))))*AS$30</f>
        <v>#N/A</v>
      </c>
      <c r="AT5" s="319" t="e">
        <f ca="1">(IF(SUM($J5:AS5)&gt;($H5-1),0,IF($G5=AT$28,1,IF(SUM($J5:AS5)=0,0,1))))*AT$30</f>
        <v>#N/A</v>
      </c>
      <c r="AU5" s="320" t="e">
        <f ca="1">(IF(SUM($J5:AT5)&gt;($H5-1),0,IF($G5=AU$28,1,IF(SUM($J5:AT5)=0,0,1))))*AU$30</f>
        <v>#N/A</v>
      </c>
      <c r="AV5" s="320" t="e">
        <f ca="1">(IF(SUM($J5:AU5)&gt;($H5-1),0,IF($G5=AV$28,1,IF(SUM($J5:AU5)=0,0,1))))*AV$30</f>
        <v>#N/A</v>
      </c>
      <c r="AW5" s="320" t="e">
        <f ca="1">(IF(SUM($J5:AV5)&gt;($H5-1),0,IF($G5=AW$28,1,IF(SUM($J5:AV5)=0,0,1))))*AW$30</f>
        <v>#N/A</v>
      </c>
      <c r="AX5" s="320" t="e">
        <f ca="1">(IF(SUM($J5:AW5)&gt;($H5-1),0,IF($G5=AX$28,1,IF(SUM($J5:AW5)=0,0,1))))*AX$30</f>
        <v>#N/A</v>
      </c>
      <c r="AY5" s="320" t="e">
        <f ca="1">(IF(SUM($J5:AX5)&gt;($H5-1),0,IF($G5=AY$28,1,IF(SUM($J5:AX5)=0,0,1))))*AY$30</f>
        <v>#N/A</v>
      </c>
      <c r="AZ5" s="320" t="e">
        <f ca="1">(IF(SUM($J5:AY5)&gt;($H5-1),0,IF($G5=AZ$28,1,IF(SUM($J5:AY5)=0,0,1))))*AZ$30</f>
        <v>#N/A</v>
      </c>
      <c r="BA5" s="320" t="e">
        <f ca="1">(IF(SUM($J5:AZ5)&gt;($H5-1),0,IF($G5=BA$28,1,IF(SUM($J5:AZ5)=0,0,1))))*BA$30</f>
        <v>#N/A</v>
      </c>
      <c r="BB5" s="320" t="e">
        <f ca="1">(IF(SUM($J5:BA5)&gt;($H5-1),0,IF($G5=BB$28,1,IF(SUM($J5:BA5)=0,0,1))))*BB$30</f>
        <v>#N/A</v>
      </c>
      <c r="BC5" s="320" t="e">
        <f ca="1">(IF(SUM($J5:BB5)&gt;($H5-1),0,IF($G5=BC$28,1,IF(SUM($J5:BB5)=0,0,1))))*BC$30</f>
        <v>#N/A</v>
      </c>
      <c r="BD5" s="320" t="e">
        <f ca="1">(IF(SUM($J5:BC5)&gt;($H5-1),0,IF($G5=BD$28,1,IF(SUM($J5:BC5)=0,0,1))))*BD$30</f>
        <v>#N/A</v>
      </c>
      <c r="BE5" s="321" t="e">
        <f ca="1">(IF(SUM($J5:BD5)&gt;($H5-1),0,IF($G5=BE$28,1,IF(SUM($J5:BD5)=0,0,1))))*BE$30</f>
        <v>#N/A</v>
      </c>
      <c r="BF5" s="322"/>
      <c r="BG5" s="323"/>
      <c r="BH5" s="323"/>
      <c r="BI5" s="323"/>
      <c r="BJ5" s="323"/>
      <c r="BK5" s="323"/>
      <c r="BL5" s="323"/>
      <c r="BM5" s="323"/>
      <c r="BN5" s="323"/>
      <c r="BO5" s="323"/>
      <c r="BP5" s="323"/>
      <c r="BQ5" s="323"/>
      <c r="BR5" s="323"/>
      <c r="BS5" s="323"/>
      <c r="BT5" s="323"/>
      <c r="BU5" s="323"/>
      <c r="BV5" s="323"/>
      <c r="BW5" s="323"/>
      <c r="BX5" s="323"/>
      <c r="BY5" s="323"/>
      <c r="BZ5" s="324">
        <f t="shared" ref="BZ5:BZ26" si="3">I5-(SUM(BF5:BY5))</f>
        <v>0</v>
      </c>
      <c r="CA5" s="325" t="str">
        <f>IF(BZ5=0,"",$CF$3)</f>
        <v/>
      </c>
      <c r="CG5" s="169">
        <f t="shared" ref="CG5:CG26" si="4">+E5</f>
        <v>0</v>
      </c>
    </row>
    <row r="6" spans="1:93">
      <c r="A6" s="169" t="s">
        <v>53</v>
      </c>
      <c r="B6" s="314" t="s">
        <v>616</v>
      </c>
      <c r="C6" s="315"/>
      <c r="D6" s="315"/>
      <c r="E6" s="315"/>
      <c r="F6" s="316"/>
      <c r="G6" s="326"/>
      <c r="H6" s="315"/>
      <c r="I6" s="318">
        <f t="shared" si="0"/>
        <v>0</v>
      </c>
      <c r="J6" s="319">
        <f t="shared" ca="1" si="1"/>
        <v>0</v>
      </c>
      <c r="K6" s="320">
        <f t="shared" ca="1" si="2"/>
        <v>0</v>
      </c>
      <c r="L6" s="320" t="e">
        <f ca="1">(IF(SUM($J6:K6)&gt;($H6-1),0,IF($G6=L$28,1,IF(SUM($J6:K6)=0,0,1))))*L$30</f>
        <v>#N/A</v>
      </c>
      <c r="M6" s="320" t="e">
        <f ca="1">(IF(SUM($J6:L6)&gt;($H6-1),0,IF($G6=M$28,1,IF(SUM($J6:L6)=0,0,1))))*M$30</f>
        <v>#N/A</v>
      </c>
      <c r="N6" s="320" t="e">
        <f ca="1">(IF(SUM($J6:M6)&gt;($H6-1),0,IF($G6=N$28,1,IF(SUM($J6:M6)=0,0,1))))*N$30</f>
        <v>#N/A</v>
      </c>
      <c r="O6" s="320" t="e">
        <f ca="1">(IF(SUM($J6:N6)&gt;($H6-1),0,IF($G6=O$28,1,IF(SUM($J6:N6)=0,0,1))))*O$30</f>
        <v>#N/A</v>
      </c>
      <c r="P6" s="320" t="e">
        <f ca="1">(IF(SUM($J6:O6)&gt;($H6-1),0,IF($G6=P$28,1,IF(SUM($J6:O6)=0,0,1))))*P$30</f>
        <v>#N/A</v>
      </c>
      <c r="Q6" s="320" t="e">
        <f ca="1">(IF(SUM($J6:P6)&gt;($H6-1),0,IF($G6=Q$28,1,IF(SUM($J6:P6)=0,0,1))))*Q$30</f>
        <v>#N/A</v>
      </c>
      <c r="R6" s="320" t="e">
        <f ca="1">(IF(SUM($J6:Q6)&gt;($H6-1),0,IF($G6=R$28,1,IF(SUM($J6:Q6)=0,0,1))))*R$30</f>
        <v>#N/A</v>
      </c>
      <c r="S6" s="320" t="e">
        <f ca="1">(IF(SUM($J6:R6)&gt;($H6-1),0,IF($G6=S$28,1,IF(SUM($J6:R6)=0,0,1))))*S$30</f>
        <v>#N/A</v>
      </c>
      <c r="T6" s="320" t="e">
        <f ca="1">(IF(SUM($J6:S6)&gt;($H6-1),0,IF($G6=T$28,1,IF(SUM($J6:S6)=0,0,1))))*T$30</f>
        <v>#N/A</v>
      </c>
      <c r="U6" s="321" t="e">
        <f ca="1">(IF(SUM($J6:T6)&gt;($H6-1),0,IF($G6=U$28,1,IF(SUM($J6:T6)=0,0,1))))*U$30</f>
        <v>#N/A</v>
      </c>
      <c r="V6" s="319" t="e">
        <f ca="1">(IF(SUM($J6:U6)&gt;($H6-1),0,IF($G6=V$28,1,IF(SUM($J6:U6)=0,0,1))))*V$30</f>
        <v>#N/A</v>
      </c>
      <c r="W6" s="320" t="e">
        <f ca="1">(IF(SUM($J6:V6)&gt;($H6-1),0,IF($G6=W$28,1,IF(SUM($J6:V6)=0,0,1))))*W$30</f>
        <v>#N/A</v>
      </c>
      <c r="X6" s="320" t="e">
        <f ca="1">(IF(SUM($J6:W6)&gt;($H6-1),0,IF($G6=X$28,1,IF(SUM($J6:W6)=0,0,1))))*X$30</f>
        <v>#N/A</v>
      </c>
      <c r="Y6" s="320" t="e">
        <f ca="1">(IF(SUM($J6:X6)&gt;($H6-1),0,IF($G6=Y$28,1,IF(SUM($J6:X6)=0,0,1))))*Y$30</f>
        <v>#N/A</v>
      </c>
      <c r="Z6" s="320" t="e">
        <f ca="1">(IF(SUM($J6:Y6)&gt;($H6-1),0,IF($G6=Z$28,1,IF(SUM($J6:Y6)=0,0,1))))*Z$30</f>
        <v>#N/A</v>
      </c>
      <c r="AA6" s="320" t="e">
        <f ca="1">(IF(SUM($J6:Z6)&gt;($H6-1),0,IF($G6=AA$28,1,IF(SUM($J6:Z6)=0,0,1))))*AA$30</f>
        <v>#N/A</v>
      </c>
      <c r="AB6" s="320" t="e">
        <f ca="1">(IF(SUM($J6:AA6)&gt;($H6-1),0,IF($G6=AB$28,1,IF(SUM($J6:AA6)=0,0,1))))*AB$30</f>
        <v>#N/A</v>
      </c>
      <c r="AC6" s="320" t="e">
        <f ca="1">(IF(SUM($J6:AB6)&gt;($H6-1),0,IF($G6=AC$28,1,IF(SUM($J6:AB6)=0,0,1))))*AC$30</f>
        <v>#N/A</v>
      </c>
      <c r="AD6" s="320" t="e">
        <f ca="1">(IF(SUM($J6:AC6)&gt;($H6-1),0,IF($G6=AD$28,1,IF(SUM($J6:AC6)=0,0,1))))*AD$30</f>
        <v>#N/A</v>
      </c>
      <c r="AE6" s="320" t="e">
        <f ca="1">(IF(SUM($J6:AD6)&gt;($H6-1),0,IF($G6=AE$28,1,IF(SUM($J6:AD6)=0,0,1))))*AE$30</f>
        <v>#N/A</v>
      </c>
      <c r="AF6" s="320" t="e">
        <f ca="1">(IF(SUM($J6:AE6)&gt;($H6-1),0,IF($G6=AF$28,1,IF(SUM($J6:AE6)=0,0,1))))*AF$30</f>
        <v>#N/A</v>
      </c>
      <c r="AG6" s="321" t="e">
        <f ca="1">(IF(SUM($J6:AF6)&gt;($H6-1),0,IF($G6=AG$28,1,IF(SUM($J6:AF6)=0,0,1))))*AG$30</f>
        <v>#N/A</v>
      </c>
      <c r="AH6" s="319" t="e">
        <f ca="1">(IF(SUM($J6:AG6)&gt;($H6-1),0,IF($G6=AH$28,1,IF(SUM($J6:AG6)=0,0,1))))*AH$30</f>
        <v>#N/A</v>
      </c>
      <c r="AI6" s="320" t="e">
        <f ca="1">(IF(SUM($J6:AH6)&gt;($H6-1),0,IF($G6=AI$28,1,IF(SUM($J6:AH6)=0,0,1))))*AI$30</f>
        <v>#N/A</v>
      </c>
      <c r="AJ6" s="320" t="e">
        <f ca="1">(IF(SUM($J6:AI6)&gt;($H6-1),0,IF($G6=AJ$28,1,IF(SUM($J6:AI6)=0,0,1))))*AJ$30</f>
        <v>#N/A</v>
      </c>
      <c r="AK6" s="320" t="e">
        <f ca="1">(IF(SUM($J6:AJ6)&gt;($H6-1),0,IF($G6=AK$28,1,IF(SUM($J6:AJ6)=0,0,1))))*AK$30</f>
        <v>#N/A</v>
      </c>
      <c r="AL6" s="320" t="e">
        <f ca="1">(IF(SUM($J6:AK6)&gt;($H6-1),0,IF($G6=AL$28,1,IF(SUM($J6:AK6)=0,0,1))))*AL$30</f>
        <v>#N/A</v>
      </c>
      <c r="AM6" s="320" t="e">
        <f ca="1">(IF(SUM($J6:AL6)&gt;($H6-1),0,IF($G6=AM$28,1,IF(SUM($J6:AL6)=0,0,1))))*AM$30</f>
        <v>#N/A</v>
      </c>
      <c r="AN6" s="320" t="e">
        <f ca="1">(IF(SUM($J6:AM6)&gt;($H6-1),0,IF($G6=AN$28,1,IF(SUM($J6:AM6)=0,0,1))))*AN$30</f>
        <v>#N/A</v>
      </c>
      <c r="AO6" s="320" t="e">
        <f ca="1">(IF(SUM($J6:AN6)&gt;($H6-1),0,IF($G6=AO$28,1,IF(SUM($J6:AN6)=0,0,1))))*AO$30</f>
        <v>#N/A</v>
      </c>
      <c r="AP6" s="320" t="e">
        <f ca="1">(IF(SUM($J6:AO6)&gt;($H6-1),0,IF($G6=AP$28,1,IF(SUM($J6:AO6)=0,0,1))))*AP$30</f>
        <v>#N/A</v>
      </c>
      <c r="AQ6" s="320" t="e">
        <f ca="1">(IF(SUM($J6:AP6)&gt;($H6-1),0,IF($G6=AQ$28,1,IF(SUM($J6:AP6)=0,0,1))))*AQ$30</f>
        <v>#N/A</v>
      </c>
      <c r="AR6" s="320" t="e">
        <f ca="1">(IF(SUM($J6:AQ6)&gt;($H6-1),0,IF($G6=AR$28,1,IF(SUM($J6:AQ6)=0,0,1))))*AR$30</f>
        <v>#N/A</v>
      </c>
      <c r="AS6" s="321" t="e">
        <f ca="1">(IF(SUM($J6:AR6)&gt;($H6-1),0,IF($G6=AS$28,1,IF(SUM($J6:AR6)=0,0,1))))*AS$30</f>
        <v>#N/A</v>
      </c>
      <c r="AT6" s="319" t="e">
        <f ca="1">(IF(SUM($J6:AS6)&gt;($H6-1),0,IF($G6=AT$28,1,IF(SUM($J6:AS6)=0,0,1))))*AT$30</f>
        <v>#N/A</v>
      </c>
      <c r="AU6" s="320" t="e">
        <f ca="1">(IF(SUM($J6:AT6)&gt;($H6-1),0,IF($G6=AU$28,1,IF(SUM($J6:AT6)=0,0,1))))*AU$30</f>
        <v>#N/A</v>
      </c>
      <c r="AV6" s="320" t="e">
        <f ca="1">(IF(SUM($J6:AU6)&gt;($H6-1),0,IF($G6=AV$28,1,IF(SUM($J6:AU6)=0,0,1))))*AV$30</f>
        <v>#N/A</v>
      </c>
      <c r="AW6" s="320" t="e">
        <f ca="1">(IF(SUM($J6:AV6)&gt;($H6-1),0,IF($G6=AW$28,1,IF(SUM($J6:AV6)=0,0,1))))*AW$30</f>
        <v>#N/A</v>
      </c>
      <c r="AX6" s="320" t="e">
        <f ca="1">(IF(SUM($J6:AW6)&gt;($H6-1),0,IF($G6=AX$28,1,IF(SUM($J6:AW6)=0,0,1))))*AX$30</f>
        <v>#N/A</v>
      </c>
      <c r="AY6" s="320" t="e">
        <f ca="1">(IF(SUM($J6:AX6)&gt;($H6-1),0,IF($G6=AY$28,1,IF(SUM($J6:AX6)=0,0,1))))*AY$30</f>
        <v>#N/A</v>
      </c>
      <c r="AZ6" s="320" t="e">
        <f ca="1">(IF(SUM($J6:AY6)&gt;($H6-1),0,IF($G6=AZ$28,1,IF(SUM($J6:AY6)=0,0,1))))*AZ$30</f>
        <v>#N/A</v>
      </c>
      <c r="BA6" s="320" t="e">
        <f ca="1">(IF(SUM($J6:AZ6)&gt;($H6-1),0,IF($G6=BA$28,1,IF(SUM($J6:AZ6)=0,0,1))))*BA$30</f>
        <v>#N/A</v>
      </c>
      <c r="BB6" s="320" t="e">
        <f ca="1">(IF(SUM($J6:BA6)&gt;($H6-1),0,IF($G6=BB$28,1,IF(SUM($J6:BA6)=0,0,1))))*BB$30</f>
        <v>#N/A</v>
      </c>
      <c r="BC6" s="320" t="e">
        <f ca="1">(IF(SUM($J6:BB6)&gt;($H6-1),0,IF($G6=BC$28,1,IF(SUM($J6:BB6)=0,0,1))))*BC$30</f>
        <v>#N/A</v>
      </c>
      <c r="BD6" s="320" t="e">
        <f ca="1">(IF(SUM($J6:BC6)&gt;($H6-1),0,IF($G6=BD$28,1,IF(SUM($J6:BC6)=0,0,1))))*BD$30</f>
        <v>#N/A</v>
      </c>
      <c r="BE6" s="321" t="e">
        <f ca="1">(IF(SUM($J6:BD6)&gt;($H6-1),0,IF($G6=BE$28,1,IF(SUM($J6:BD6)=0,0,1))))*BE$30</f>
        <v>#N/A</v>
      </c>
      <c r="BF6" s="322"/>
      <c r="BG6" s="323"/>
      <c r="BH6" s="323"/>
      <c r="BI6" s="323"/>
      <c r="BJ6" s="323"/>
      <c r="BK6" s="323"/>
      <c r="BL6" s="323"/>
      <c r="BM6" s="323"/>
      <c r="BN6" s="323"/>
      <c r="BO6" s="323"/>
      <c r="BP6" s="323"/>
      <c r="BQ6" s="323"/>
      <c r="BR6" s="323"/>
      <c r="BS6" s="323"/>
      <c r="BT6" s="323"/>
      <c r="BU6" s="323"/>
      <c r="BV6" s="323"/>
      <c r="BW6" s="323"/>
      <c r="BX6" s="323"/>
      <c r="BY6" s="323"/>
      <c r="BZ6" s="324">
        <f t="shared" si="3"/>
        <v>0</v>
      </c>
      <c r="CA6" s="325" t="str">
        <f t="shared" ref="CA6:CA26" si="5">IF(BZ6=0,"",$CF$3)</f>
        <v/>
      </c>
      <c r="CG6" s="169">
        <f t="shared" si="4"/>
        <v>0</v>
      </c>
    </row>
    <row r="7" spans="1:93">
      <c r="A7" s="169" t="s">
        <v>51</v>
      </c>
      <c r="B7" s="314" t="s">
        <v>617</v>
      </c>
      <c r="C7" s="315"/>
      <c r="D7" s="315"/>
      <c r="E7" s="315"/>
      <c r="F7" s="316"/>
      <c r="G7" s="326"/>
      <c r="H7" s="315"/>
      <c r="I7" s="318">
        <f t="shared" si="0"/>
        <v>0</v>
      </c>
      <c r="J7" s="319">
        <f t="shared" ca="1" si="1"/>
        <v>0</v>
      </c>
      <c r="K7" s="320">
        <f t="shared" ca="1" si="2"/>
        <v>0</v>
      </c>
      <c r="L7" s="320" t="e">
        <f ca="1">(IF(SUM($J7:K7)&gt;($H7-1),0,IF($G7=L$28,1,IF(SUM($J7:K7)=0,0,1))))*L$30</f>
        <v>#N/A</v>
      </c>
      <c r="M7" s="320" t="e">
        <f ca="1">(IF(SUM($J7:L7)&gt;($H7-1),0,IF($G7=M$28,1,IF(SUM($J7:L7)=0,0,1))))*M$30</f>
        <v>#N/A</v>
      </c>
      <c r="N7" s="320" t="e">
        <f ca="1">(IF(SUM($J7:M7)&gt;($H7-1),0,IF($G7=N$28,1,IF(SUM($J7:M7)=0,0,1))))*N$30</f>
        <v>#N/A</v>
      </c>
      <c r="O7" s="320" t="e">
        <f ca="1">(IF(SUM($J7:N7)&gt;($H7-1),0,IF($G7=O$28,1,IF(SUM($J7:N7)=0,0,1))))*O$30</f>
        <v>#N/A</v>
      </c>
      <c r="P7" s="320" t="e">
        <f ca="1">(IF(SUM($J7:O7)&gt;($H7-1),0,IF($G7=P$28,1,IF(SUM($J7:O7)=0,0,1))))*P$30</f>
        <v>#N/A</v>
      </c>
      <c r="Q7" s="320" t="e">
        <f ca="1">(IF(SUM($J7:P7)&gt;($H7-1),0,IF($G7=Q$28,1,IF(SUM($J7:P7)=0,0,1))))*Q$30</f>
        <v>#N/A</v>
      </c>
      <c r="R7" s="320" t="e">
        <f ca="1">(IF(SUM($J7:Q7)&gt;($H7-1),0,IF($G7=R$28,1,IF(SUM($J7:Q7)=0,0,1))))*R$30</f>
        <v>#N/A</v>
      </c>
      <c r="S7" s="320" t="e">
        <f ca="1">(IF(SUM($J7:R7)&gt;($H7-1),0,IF($G7=S$28,1,IF(SUM($J7:R7)=0,0,1))))*S$30</f>
        <v>#N/A</v>
      </c>
      <c r="T7" s="320" t="e">
        <f ca="1">(IF(SUM($J7:S7)&gt;($H7-1),0,IF($G7=T$28,1,IF(SUM($J7:S7)=0,0,1))))*T$30</f>
        <v>#N/A</v>
      </c>
      <c r="U7" s="321" t="e">
        <f ca="1">(IF(SUM($J7:T7)&gt;($H7-1),0,IF($G7=U$28,1,IF(SUM($J7:T7)=0,0,1))))*U$30</f>
        <v>#N/A</v>
      </c>
      <c r="V7" s="319" t="e">
        <f ca="1">(IF(SUM($J7:U7)&gt;($H7-1),0,IF($G7=V$28,1,IF(SUM($J7:U7)=0,0,1))))*V$30</f>
        <v>#N/A</v>
      </c>
      <c r="W7" s="320" t="e">
        <f ca="1">(IF(SUM($J7:V7)&gt;($H7-1),0,IF($G7=W$28,1,IF(SUM($J7:V7)=0,0,1))))*W$30</f>
        <v>#N/A</v>
      </c>
      <c r="X7" s="320" t="e">
        <f ca="1">(IF(SUM($J7:W7)&gt;($H7-1),0,IF($G7=X$28,1,IF(SUM($J7:W7)=0,0,1))))*X$30</f>
        <v>#N/A</v>
      </c>
      <c r="Y7" s="320" t="e">
        <f ca="1">(IF(SUM($J7:X7)&gt;($H7-1),0,IF($G7=Y$28,1,IF(SUM($J7:X7)=0,0,1))))*Y$30</f>
        <v>#N/A</v>
      </c>
      <c r="Z7" s="320" t="e">
        <f ca="1">(IF(SUM($J7:Y7)&gt;($H7-1),0,IF($G7=Z$28,1,IF(SUM($J7:Y7)=0,0,1))))*Z$30</f>
        <v>#N/A</v>
      </c>
      <c r="AA7" s="320" t="e">
        <f ca="1">(IF(SUM($J7:Z7)&gt;($H7-1),0,IF($G7=AA$28,1,IF(SUM($J7:Z7)=0,0,1))))*AA$30</f>
        <v>#N/A</v>
      </c>
      <c r="AB7" s="320" t="e">
        <f ca="1">(IF(SUM($J7:AA7)&gt;($H7-1),0,IF($G7=AB$28,1,IF(SUM($J7:AA7)=0,0,1))))*AB$30</f>
        <v>#N/A</v>
      </c>
      <c r="AC7" s="320" t="e">
        <f ca="1">(IF(SUM($J7:AB7)&gt;($H7-1),0,IF($G7=AC$28,1,IF(SUM($J7:AB7)=0,0,1))))*AC$30</f>
        <v>#N/A</v>
      </c>
      <c r="AD7" s="320" t="e">
        <f ca="1">(IF(SUM($J7:AC7)&gt;($H7-1),0,IF($G7=AD$28,1,IF(SUM($J7:AC7)=0,0,1))))*AD$30</f>
        <v>#N/A</v>
      </c>
      <c r="AE7" s="320" t="e">
        <f ca="1">(IF(SUM($J7:AD7)&gt;($H7-1),0,IF($G7=AE$28,1,IF(SUM($J7:AD7)=0,0,1))))*AE$30</f>
        <v>#N/A</v>
      </c>
      <c r="AF7" s="320" t="e">
        <f ca="1">(IF(SUM($J7:AE7)&gt;($H7-1),0,IF($G7=AF$28,1,IF(SUM($J7:AE7)=0,0,1))))*AF$30</f>
        <v>#N/A</v>
      </c>
      <c r="AG7" s="321" t="e">
        <f ca="1">(IF(SUM($J7:AF7)&gt;($H7-1),0,IF($G7=AG$28,1,IF(SUM($J7:AF7)=0,0,1))))*AG$30</f>
        <v>#N/A</v>
      </c>
      <c r="AH7" s="319" t="e">
        <f ca="1">(IF(SUM($J7:AG7)&gt;($H7-1),0,IF($G7=AH$28,1,IF(SUM($J7:AG7)=0,0,1))))*AH$30</f>
        <v>#N/A</v>
      </c>
      <c r="AI7" s="320" t="e">
        <f ca="1">(IF(SUM($J7:AH7)&gt;($H7-1),0,IF($G7=AI$28,1,IF(SUM($J7:AH7)=0,0,1))))*AI$30</f>
        <v>#N/A</v>
      </c>
      <c r="AJ7" s="320" t="e">
        <f ca="1">(IF(SUM($J7:AI7)&gt;($H7-1),0,IF($G7=AJ$28,1,IF(SUM($J7:AI7)=0,0,1))))*AJ$30</f>
        <v>#N/A</v>
      </c>
      <c r="AK7" s="320" t="e">
        <f ca="1">(IF(SUM($J7:AJ7)&gt;($H7-1),0,IF($G7=AK$28,1,IF(SUM($J7:AJ7)=0,0,1))))*AK$30</f>
        <v>#N/A</v>
      </c>
      <c r="AL7" s="320" t="e">
        <f ca="1">(IF(SUM($J7:AK7)&gt;($H7-1),0,IF($G7=AL$28,1,IF(SUM($J7:AK7)=0,0,1))))*AL$30</f>
        <v>#N/A</v>
      </c>
      <c r="AM7" s="320" t="e">
        <f ca="1">(IF(SUM($J7:AL7)&gt;($H7-1),0,IF($G7=AM$28,1,IF(SUM($J7:AL7)=0,0,1))))*AM$30</f>
        <v>#N/A</v>
      </c>
      <c r="AN7" s="320" t="e">
        <f ca="1">(IF(SUM($J7:AM7)&gt;($H7-1),0,IF($G7=AN$28,1,IF(SUM($J7:AM7)=0,0,1))))*AN$30</f>
        <v>#N/A</v>
      </c>
      <c r="AO7" s="320" t="e">
        <f ca="1">(IF(SUM($J7:AN7)&gt;($H7-1),0,IF($G7=AO$28,1,IF(SUM($J7:AN7)=0,0,1))))*AO$30</f>
        <v>#N/A</v>
      </c>
      <c r="AP7" s="320" t="e">
        <f ca="1">(IF(SUM($J7:AO7)&gt;($H7-1),0,IF($G7=AP$28,1,IF(SUM($J7:AO7)=0,0,1))))*AP$30</f>
        <v>#N/A</v>
      </c>
      <c r="AQ7" s="320" t="e">
        <f ca="1">(IF(SUM($J7:AP7)&gt;($H7-1),0,IF($G7=AQ$28,1,IF(SUM($J7:AP7)=0,0,1))))*AQ$30</f>
        <v>#N/A</v>
      </c>
      <c r="AR7" s="320" t="e">
        <f ca="1">(IF(SUM($J7:AQ7)&gt;($H7-1),0,IF($G7=AR$28,1,IF(SUM($J7:AQ7)=0,0,1))))*AR$30</f>
        <v>#N/A</v>
      </c>
      <c r="AS7" s="321" t="e">
        <f ca="1">(IF(SUM($J7:AR7)&gt;($H7-1),0,IF($G7=AS$28,1,IF(SUM($J7:AR7)=0,0,1))))*AS$30</f>
        <v>#N/A</v>
      </c>
      <c r="AT7" s="319" t="e">
        <f ca="1">(IF(SUM($J7:AS7)&gt;($H7-1),0,IF($G7=AT$28,1,IF(SUM($J7:AS7)=0,0,1))))*AT$30</f>
        <v>#N/A</v>
      </c>
      <c r="AU7" s="320" t="e">
        <f ca="1">(IF(SUM($J7:AT7)&gt;($H7-1),0,IF($G7=AU$28,1,IF(SUM($J7:AT7)=0,0,1))))*AU$30</f>
        <v>#N/A</v>
      </c>
      <c r="AV7" s="320" t="e">
        <f ca="1">(IF(SUM($J7:AU7)&gt;($H7-1),0,IF($G7=AV$28,1,IF(SUM($J7:AU7)=0,0,1))))*AV$30</f>
        <v>#N/A</v>
      </c>
      <c r="AW7" s="320" t="e">
        <f ca="1">(IF(SUM($J7:AV7)&gt;($H7-1),0,IF($G7=AW$28,1,IF(SUM($J7:AV7)=0,0,1))))*AW$30</f>
        <v>#N/A</v>
      </c>
      <c r="AX7" s="320" t="e">
        <f ca="1">(IF(SUM($J7:AW7)&gt;($H7-1),0,IF($G7=AX$28,1,IF(SUM($J7:AW7)=0,0,1))))*AX$30</f>
        <v>#N/A</v>
      </c>
      <c r="AY7" s="320" t="e">
        <f ca="1">(IF(SUM($J7:AX7)&gt;($H7-1),0,IF($G7=AY$28,1,IF(SUM($J7:AX7)=0,0,1))))*AY$30</f>
        <v>#N/A</v>
      </c>
      <c r="AZ7" s="320" t="e">
        <f ca="1">(IF(SUM($J7:AY7)&gt;($H7-1),0,IF($G7=AZ$28,1,IF(SUM($J7:AY7)=0,0,1))))*AZ$30</f>
        <v>#N/A</v>
      </c>
      <c r="BA7" s="320" t="e">
        <f ca="1">(IF(SUM($J7:AZ7)&gt;($H7-1),0,IF($G7=BA$28,1,IF(SUM($J7:AZ7)=0,0,1))))*BA$30</f>
        <v>#N/A</v>
      </c>
      <c r="BB7" s="320" t="e">
        <f ca="1">(IF(SUM($J7:BA7)&gt;($H7-1),0,IF($G7=BB$28,1,IF(SUM($J7:BA7)=0,0,1))))*BB$30</f>
        <v>#N/A</v>
      </c>
      <c r="BC7" s="320" t="e">
        <f ca="1">(IF(SUM($J7:BB7)&gt;($H7-1),0,IF($G7=BC$28,1,IF(SUM($J7:BB7)=0,0,1))))*BC$30</f>
        <v>#N/A</v>
      </c>
      <c r="BD7" s="320" t="e">
        <f ca="1">(IF(SUM($J7:BC7)&gt;($H7-1),0,IF($G7=BD$28,1,IF(SUM($J7:BC7)=0,0,1))))*BD$30</f>
        <v>#N/A</v>
      </c>
      <c r="BE7" s="321" t="e">
        <f ca="1">(IF(SUM($J7:BD7)&gt;($H7-1),0,IF($G7=BE$28,1,IF(SUM($J7:BD7)=0,0,1))))*BE$30</f>
        <v>#N/A</v>
      </c>
      <c r="BF7" s="322"/>
      <c r="BG7" s="323"/>
      <c r="BH7" s="323"/>
      <c r="BI7" s="323"/>
      <c r="BJ7" s="323"/>
      <c r="BK7" s="323"/>
      <c r="BL7" s="323"/>
      <c r="BM7" s="323"/>
      <c r="BN7" s="323"/>
      <c r="BO7" s="323"/>
      <c r="BP7" s="323"/>
      <c r="BQ7" s="323"/>
      <c r="BR7" s="323"/>
      <c r="BS7" s="323"/>
      <c r="BT7" s="323"/>
      <c r="BU7" s="323"/>
      <c r="BV7" s="323"/>
      <c r="BW7" s="323"/>
      <c r="BX7" s="323"/>
      <c r="BY7" s="323"/>
      <c r="BZ7" s="324">
        <f t="shared" si="3"/>
        <v>0</v>
      </c>
      <c r="CA7" s="325" t="str">
        <f t="shared" si="5"/>
        <v/>
      </c>
      <c r="CG7" s="169">
        <f t="shared" si="4"/>
        <v>0</v>
      </c>
    </row>
    <row r="8" spans="1:93">
      <c r="A8" s="169" t="s">
        <v>52</v>
      </c>
      <c r="B8" s="314" t="s">
        <v>618</v>
      </c>
      <c r="C8" s="315"/>
      <c r="D8" s="315"/>
      <c r="E8" s="315"/>
      <c r="F8" s="316"/>
      <c r="G8" s="326"/>
      <c r="H8" s="315"/>
      <c r="I8" s="318">
        <f t="shared" si="0"/>
        <v>0</v>
      </c>
      <c r="J8" s="319">
        <f t="shared" ca="1" si="1"/>
        <v>0</v>
      </c>
      <c r="K8" s="320">
        <f t="shared" ca="1" si="2"/>
        <v>0</v>
      </c>
      <c r="L8" s="320" t="e">
        <f ca="1">(IF(SUM($J8:K8)&gt;($H8-1),0,IF($G8=L$28,1,IF(SUM($J8:K8)=0,0,1))))*L$30</f>
        <v>#N/A</v>
      </c>
      <c r="M8" s="320" t="e">
        <f ca="1">(IF(SUM($J8:L8)&gt;($H8-1),0,IF($G8=M$28,1,IF(SUM($J8:L8)=0,0,1))))*M$30</f>
        <v>#N/A</v>
      </c>
      <c r="N8" s="320" t="e">
        <f ca="1">(IF(SUM($J8:M8)&gt;($H8-1),0,IF($G8=N$28,1,IF(SUM($J8:M8)=0,0,1))))*N$30</f>
        <v>#N/A</v>
      </c>
      <c r="O8" s="320" t="e">
        <f ca="1">(IF(SUM($J8:N8)&gt;($H8-1),0,IF($G8=O$28,1,IF(SUM($J8:N8)=0,0,1))))*O$30</f>
        <v>#N/A</v>
      </c>
      <c r="P8" s="320" t="e">
        <f ca="1">(IF(SUM($J8:O8)&gt;($H8-1),0,IF($G8=P$28,1,IF(SUM($J8:O8)=0,0,1))))*P$30</f>
        <v>#N/A</v>
      </c>
      <c r="Q8" s="320" t="e">
        <f ca="1">(IF(SUM($J8:P8)&gt;($H8-1),0,IF($G8=Q$28,1,IF(SUM($J8:P8)=0,0,1))))*Q$30</f>
        <v>#N/A</v>
      </c>
      <c r="R8" s="320" t="e">
        <f ca="1">(IF(SUM($J8:Q8)&gt;($H8-1),0,IF($G8=R$28,1,IF(SUM($J8:Q8)=0,0,1))))*R$30</f>
        <v>#N/A</v>
      </c>
      <c r="S8" s="320" t="e">
        <f ca="1">(IF(SUM($J8:R8)&gt;($H8-1),0,IF($G8=S$28,1,IF(SUM($J8:R8)=0,0,1))))*S$30</f>
        <v>#N/A</v>
      </c>
      <c r="T8" s="320" t="e">
        <f ca="1">(IF(SUM($J8:S8)&gt;($H8-1),0,IF($G8=T$28,1,IF(SUM($J8:S8)=0,0,1))))*T$30</f>
        <v>#N/A</v>
      </c>
      <c r="U8" s="321" t="e">
        <f ca="1">(IF(SUM($J8:T8)&gt;($H8-1),0,IF($G8=U$28,1,IF(SUM($J8:T8)=0,0,1))))*U$30</f>
        <v>#N/A</v>
      </c>
      <c r="V8" s="319" t="e">
        <f ca="1">(IF(SUM($J8:U8)&gt;($H8-1),0,IF($G8=V$28,1,IF(SUM($J8:U8)=0,0,1))))*V$30</f>
        <v>#N/A</v>
      </c>
      <c r="W8" s="320" t="e">
        <f ca="1">(IF(SUM($J8:V8)&gt;($H8-1),0,IF($G8=W$28,1,IF(SUM($J8:V8)=0,0,1))))*W$30</f>
        <v>#N/A</v>
      </c>
      <c r="X8" s="320" t="e">
        <f ca="1">(IF(SUM($J8:W8)&gt;($H8-1),0,IF($G8=X$28,1,IF(SUM($J8:W8)=0,0,1))))*X$30</f>
        <v>#N/A</v>
      </c>
      <c r="Y8" s="320" t="e">
        <f ca="1">(IF(SUM($J8:X8)&gt;($H8-1),0,IF($G8=Y$28,1,IF(SUM($J8:X8)=0,0,1))))*Y$30</f>
        <v>#N/A</v>
      </c>
      <c r="Z8" s="320" t="e">
        <f ca="1">(IF(SUM($J8:Y8)&gt;($H8-1),0,IF($G8=Z$28,1,IF(SUM($J8:Y8)=0,0,1))))*Z$30</f>
        <v>#N/A</v>
      </c>
      <c r="AA8" s="320" t="e">
        <f ca="1">(IF(SUM($J8:Z8)&gt;($H8-1),0,IF($G8=AA$28,1,IF(SUM($J8:Z8)=0,0,1))))*AA$30</f>
        <v>#N/A</v>
      </c>
      <c r="AB8" s="320" t="e">
        <f ca="1">(IF(SUM($J8:AA8)&gt;($H8-1),0,IF($G8=AB$28,1,IF(SUM($J8:AA8)=0,0,1))))*AB$30</f>
        <v>#N/A</v>
      </c>
      <c r="AC8" s="320" t="e">
        <f ca="1">(IF(SUM($J8:AB8)&gt;($H8-1),0,IF($G8=AC$28,1,IF(SUM($J8:AB8)=0,0,1))))*AC$30</f>
        <v>#N/A</v>
      </c>
      <c r="AD8" s="320" t="e">
        <f ca="1">(IF(SUM($J8:AC8)&gt;($H8-1),0,IF($G8=AD$28,1,IF(SUM($J8:AC8)=0,0,1))))*AD$30</f>
        <v>#N/A</v>
      </c>
      <c r="AE8" s="320" t="e">
        <f ca="1">(IF(SUM($J8:AD8)&gt;($H8-1),0,IF($G8=AE$28,1,IF(SUM($J8:AD8)=0,0,1))))*AE$30</f>
        <v>#N/A</v>
      </c>
      <c r="AF8" s="320" t="e">
        <f ca="1">(IF(SUM($J8:AE8)&gt;($H8-1),0,IF($G8=AF$28,1,IF(SUM($J8:AE8)=0,0,1))))*AF$30</f>
        <v>#N/A</v>
      </c>
      <c r="AG8" s="321" t="e">
        <f ca="1">(IF(SUM($J8:AF8)&gt;($H8-1),0,IF($G8=AG$28,1,IF(SUM($J8:AF8)=0,0,1))))*AG$30</f>
        <v>#N/A</v>
      </c>
      <c r="AH8" s="319" t="e">
        <f ca="1">(IF(SUM($J8:AG8)&gt;($H8-1),0,IF($G8=AH$28,1,IF(SUM($J8:AG8)=0,0,1))))*AH$30</f>
        <v>#N/A</v>
      </c>
      <c r="AI8" s="320" t="e">
        <f ca="1">(IF(SUM($J8:AH8)&gt;($H8-1),0,IF($G8=AI$28,1,IF(SUM($J8:AH8)=0,0,1))))*AI$30</f>
        <v>#N/A</v>
      </c>
      <c r="AJ8" s="320" t="e">
        <f ca="1">(IF(SUM($J8:AI8)&gt;($H8-1),0,IF($G8=AJ$28,1,IF(SUM($J8:AI8)=0,0,1))))*AJ$30</f>
        <v>#N/A</v>
      </c>
      <c r="AK8" s="320" t="e">
        <f ca="1">(IF(SUM($J8:AJ8)&gt;($H8-1),0,IF($G8=AK$28,1,IF(SUM($J8:AJ8)=0,0,1))))*AK$30</f>
        <v>#N/A</v>
      </c>
      <c r="AL8" s="320" t="e">
        <f ca="1">(IF(SUM($J8:AK8)&gt;($H8-1),0,IF($G8=AL$28,1,IF(SUM($J8:AK8)=0,0,1))))*AL$30</f>
        <v>#N/A</v>
      </c>
      <c r="AM8" s="320" t="e">
        <f ca="1">(IF(SUM($J8:AL8)&gt;($H8-1),0,IF($G8=AM$28,1,IF(SUM($J8:AL8)=0,0,1))))*AM$30</f>
        <v>#N/A</v>
      </c>
      <c r="AN8" s="320" t="e">
        <f ca="1">(IF(SUM($J8:AM8)&gt;($H8-1),0,IF($G8=AN$28,1,IF(SUM($J8:AM8)=0,0,1))))*AN$30</f>
        <v>#N/A</v>
      </c>
      <c r="AO8" s="320" t="e">
        <f ca="1">(IF(SUM($J8:AN8)&gt;($H8-1),0,IF($G8=AO$28,1,IF(SUM($J8:AN8)=0,0,1))))*AO$30</f>
        <v>#N/A</v>
      </c>
      <c r="AP8" s="320" t="e">
        <f ca="1">(IF(SUM($J8:AO8)&gt;($H8-1),0,IF($G8=AP$28,1,IF(SUM($J8:AO8)=0,0,1))))*AP$30</f>
        <v>#N/A</v>
      </c>
      <c r="AQ8" s="320" t="e">
        <f ca="1">(IF(SUM($J8:AP8)&gt;($H8-1),0,IF($G8=AQ$28,1,IF(SUM($J8:AP8)=0,0,1))))*AQ$30</f>
        <v>#N/A</v>
      </c>
      <c r="AR8" s="320" t="e">
        <f ca="1">(IF(SUM($J8:AQ8)&gt;($H8-1),0,IF($G8=AR$28,1,IF(SUM($J8:AQ8)=0,0,1))))*AR$30</f>
        <v>#N/A</v>
      </c>
      <c r="AS8" s="321" t="e">
        <f ca="1">(IF(SUM($J8:AR8)&gt;($H8-1),0,IF($G8=AS$28,1,IF(SUM($J8:AR8)=0,0,1))))*AS$30</f>
        <v>#N/A</v>
      </c>
      <c r="AT8" s="319" t="e">
        <f ca="1">(IF(SUM($J8:AS8)&gt;($H8-1),0,IF($G8=AT$28,1,IF(SUM($J8:AS8)=0,0,1))))*AT$30</f>
        <v>#N/A</v>
      </c>
      <c r="AU8" s="320" t="e">
        <f ca="1">(IF(SUM($J8:AT8)&gt;($H8-1),0,IF($G8=AU$28,1,IF(SUM($J8:AT8)=0,0,1))))*AU$30</f>
        <v>#N/A</v>
      </c>
      <c r="AV8" s="320" t="e">
        <f ca="1">(IF(SUM($J8:AU8)&gt;($H8-1),0,IF($G8=AV$28,1,IF(SUM($J8:AU8)=0,0,1))))*AV$30</f>
        <v>#N/A</v>
      </c>
      <c r="AW8" s="320" t="e">
        <f ca="1">(IF(SUM($J8:AV8)&gt;($H8-1),0,IF($G8=AW$28,1,IF(SUM($J8:AV8)=0,0,1))))*AW$30</f>
        <v>#N/A</v>
      </c>
      <c r="AX8" s="320" t="e">
        <f ca="1">(IF(SUM($J8:AW8)&gt;($H8-1),0,IF($G8=AX$28,1,IF(SUM($J8:AW8)=0,0,1))))*AX$30</f>
        <v>#N/A</v>
      </c>
      <c r="AY8" s="320" t="e">
        <f ca="1">(IF(SUM($J8:AX8)&gt;($H8-1),0,IF($G8=AY$28,1,IF(SUM($J8:AX8)=0,0,1))))*AY$30</f>
        <v>#N/A</v>
      </c>
      <c r="AZ8" s="320" t="e">
        <f ca="1">(IF(SUM($J8:AY8)&gt;($H8-1),0,IF($G8=AZ$28,1,IF(SUM($J8:AY8)=0,0,1))))*AZ$30</f>
        <v>#N/A</v>
      </c>
      <c r="BA8" s="320" t="e">
        <f ca="1">(IF(SUM($J8:AZ8)&gt;($H8-1),0,IF($G8=BA$28,1,IF(SUM($J8:AZ8)=0,0,1))))*BA$30</f>
        <v>#N/A</v>
      </c>
      <c r="BB8" s="320" t="e">
        <f ca="1">(IF(SUM($J8:BA8)&gt;($H8-1),0,IF($G8=BB$28,1,IF(SUM($J8:BA8)=0,0,1))))*BB$30</f>
        <v>#N/A</v>
      </c>
      <c r="BC8" s="320" t="e">
        <f ca="1">(IF(SUM($J8:BB8)&gt;($H8-1),0,IF($G8=BC$28,1,IF(SUM($J8:BB8)=0,0,1))))*BC$30</f>
        <v>#N/A</v>
      </c>
      <c r="BD8" s="320" t="e">
        <f ca="1">(IF(SUM($J8:BC8)&gt;($H8-1),0,IF($G8=BD$28,1,IF(SUM($J8:BC8)=0,0,1))))*BD$30</f>
        <v>#N/A</v>
      </c>
      <c r="BE8" s="321" t="e">
        <f ca="1">(IF(SUM($J8:BD8)&gt;($H8-1),0,IF($G8=BE$28,1,IF(SUM($J8:BD8)=0,0,1))))*BE$30</f>
        <v>#N/A</v>
      </c>
      <c r="BF8" s="322"/>
      <c r="BG8" s="323"/>
      <c r="BH8" s="323"/>
      <c r="BI8" s="323"/>
      <c r="BJ8" s="323"/>
      <c r="BK8" s="323"/>
      <c r="BL8" s="323"/>
      <c r="BM8" s="323"/>
      <c r="BN8" s="323"/>
      <c r="BO8" s="323"/>
      <c r="BP8" s="323"/>
      <c r="BQ8" s="323"/>
      <c r="BR8" s="323"/>
      <c r="BS8" s="323"/>
      <c r="BT8" s="323"/>
      <c r="BU8" s="323"/>
      <c r="BV8" s="323"/>
      <c r="BW8" s="323"/>
      <c r="BX8" s="323"/>
      <c r="BY8" s="323"/>
      <c r="BZ8" s="324">
        <f t="shared" si="3"/>
        <v>0</v>
      </c>
      <c r="CA8" s="325" t="str">
        <f t="shared" si="5"/>
        <v/>
      </c>
      <c r="CG8" s="169">
        <f t="shared" si="4"/>
        <v>0</v>
      </c>
    </row>
    <row r="9" spans="1:93">
      <c r="A9" s="169" t="s">
        <v>54</v>
      </c>
      <c r="B9" s="314" t="s">
        <v>619</v>
      </c>
      <c r="C9" s="315"/>
      <c r="D9" s="315"/>
      <c r="E9" s="315"/>
      <c r="F9" s="316"/>
      <c r="G9" s="326"/>
      <c r="H9" s="315"/>
      <c r="I9" s="318">
        <f t="shared" si="0"/>
        <v>0</v>
      </c>
      <c r="J9" s="319">
        <f t="shared" ca="1" si="1"/>
        <v>0</v>
      </c>
      <c r="K9" s="320">
        <f t="shared" ca="1" si="2"/>
        <v>0</v>
      </c>
      <c r="L9" s="320" t="e">
        <f ca="1">(IF(SUM($J9:K9)&gt;($H9-1),0,IF($G9=L$28,1,IF(SUM($J9:K9)=0,0,1))))*L$30</f>
        <v>#N/A</v>
      </c>
      <c r="M9" s="320" t="e">
        <f ca="1">(IF(SUM($J9:L9)&gt;($H9-1),0,IF($G9=M$28,1,IF(SUM($J9:L9)=0,0,1))))*M$30</f>
        <v>#N/A</v>
      </c>
      <c r="N9" s="320" t="e">
        <f ca="1">(IF(SUM($J9:M9)&gt;($H9-1),0,IF($G9=N$28,1,IF(SUM($J9:M9)=0,0,1))))*N$30</f>
        <v>#N/A</v>
      </c>
      <c r="O9" s="320" t="e">
        <f ca="1">(IF(SUM($J9:N9)&gt;($H9-1),0,IF($G9=O$28,1,IF(SUM($J9:N9)=0,0,1))))*O$30</f>
        <v>#N/A</v>
      </c>
      <c r="P9" s="320" t="e">
        <f ca="1">(IF(SUM($J9:O9)&gt;($H9-1),0,IF($G9=P$28,1,IF(SUM($J9:O9)=0,0,1))))*P$30</f>
        <v>#N/A</v>
      </c>
      <c r="Q9" s="320" t="e">
        <f ca="1">(IF(SUM($J9:P9)&gt;($H9-1),0,IF($G9=Q$28,1,IF(SUM($J9:P9)=0,0,1))))*Q$30</f>
        <v>#N/A</v>
      </c>
      <c r="R9" s="320" t="e">
        <f ca="1">(IF(SUM($J9:Q9)&gt;($H9-1),0,IF($G9=R$28,1,IF(SUM($J9:Q9)=0,0,1))))*R$30</f>
        <v>#N/A</v>
      </c>
      <c r="S9" s="320" t="e">
        <f ca="1">(IF(SUM($J9:R9)&gt;($H9-1),0,IF($G9=S$28,1,IF(SUM($J9:R9)=0,0,1))))*S$30</f>
        <v>#N/A</v>
      </c>
      <c r="T9" s="320" t="e">
        <f ca="1">(IF(SUM($J9:S9)&gt;($H9-1),0,IF($G9=T$28,1,IF(SUM($J9:S9)=0,0,1))))*T$30</f>
        <v>#N/A</v>
      </c>
      <c r="U9" s="321" t="e">
        <f ca="1">(IF(SUM($J9:T9)&gt;($H9-1),0,IF($G9=U$28,1,IF(SUM($J9:T9)=0,0,1))))*U$30</f>
        <v>#N/A</v>
      </c>
      <c r="V9" s="319" t="e">
        <f ca="1">(IF(SUM($J9:U9)&gt;($H9-1),0,IF($G9=V$28,1,IF(SUM($J9:U9)=0,0,1))))*V$30</f>
        <v>#N/A</v>
      </c>
      <c r="W9" s="320" t="e">
        <f ca="1">(IF(SUM($J9:V9)&gt;($H9-1),0,IF($G9=W$28,1,IF(SUM($J9:V9)=0,0,1))))*W$30</f>
        <v>#N/A</v>
      </c>
      <c r="X9" s="320" t="e">
        <f ca="1">(IF(SUM($J9:W9)&gt;($H9-1),0,IF($G9=X$28,1,IF(SUM($J9:W9)=0,0,1))))*X$30</f>
        <v>#N/A</v>
      </c>
      <c r="Y9" s="320" t="e">
        <f ca="1">(IF(SUM($J9:X9)&gt;($H9-1),0,IF($G9=Y$28,1,IF(SUM($J9:X9)=0,0,1))))*Y$30</f>
        <v>#N/A</v>
      </c>
      <c r="Z9" s="320" t="e">
        <f ca="1">(IF(SUM($J9:Y9)&gt;($H9-1),0,IF($G9=Z$28,1,IF(SUM($J9:Y9)=0,0,1))))*Z$30</f>
        <v>#N/A</v>
      </c>
      <c r="AA9" s="320" t="e">
        <f ca="1">(IF(SUM($J9:Z9)&gt;($H9-1),0,IF($G9=AA$28,1,IF(SUM($J9:Z9)=0,0,1))))*AA$30</f>
        <v>#N/A</v>
      </c>
      <c r="AB9" s="320" t="e">
        <f ca="1">(IF(SUM($J9:AA9)&gt;($H9-1),0,IF($G9=AB$28,1,IF(SUM($J9:AA9)=0,0,1))))*AB$30</f>
        <v>#N/A</v>
      </c>
      <c r="AC9" s="320" t="e">
        <f ca="1">(IF(SUM($J9:AB9)&gt;($H9-1),0,IF($G9=AC$28,1,IF(SUM($J9:AB9)=0,0,1))))*AC$30</f>
        <v>#N/A</v>
      </c>
      <c r="AD9" s="320" t="e">
        <f ca="1">(IF(SUM($J9:AC9)&gt;($H9-1),0,IF($G9=AD$28,1,IF(SUM($J9:AC9)=0,0,1))))*AD$30</f>
        <v>#N/A</v>
      </c>
      <c r="AE9" s="320" t="e">
        <f ca="1">(IF(SUM($J9:AD9)&gt;($H9-1),0,IF($G9=AE$28,1,IF(SUM($J9:AD9)=0,0,1))))*AE$30</f>
        <v>#N/A</v>
      </c>
      <c r="AF9" s="320" t="e">
        <f ca="1">(IF(SUM($J9:AE9)&gt;($H9-1),0,IF($G9=AF$28,1,IF(SUM($J9:AE9)=0,0,1))))*AF$30</f>
        <v>#N/A</v>
      </c>
      <c r="AG9" s="321" t="e">
        <f ca="1">(IF(SUM($J9:AF9)&gt;($H9-1),0,IF($G9=AG$28,1,IF(SUM($J9:AF9)=0,0,1))))*AG$30</f>
        <v>#N/A</v>
      </c>
      <c r="AH9" s="319" t="e">
        <f ca="1">(IF(SUM($J9:AG9)&gt;($H9-1),0,IF($G9=AH$28,1,IF(SUM($J9:AG9)=0,0,1))))*AH$30</f>
        <v>#N/A</v>
      </c>
      <c r="AI9" s="320" t="e">
        <f ca="1">(IF(SUM($J9:AH9)&gt;($H9-1),0,IF($G9=AI$28,1,IF(SUM($J9:AH9)=0,0,1))))*AI$30</f>
        <v>#N/A</v>
      </c>
      <c r="AJ9" s="320" t="e">
        <f ca="1">(IF(SUM($J9:AI9)&gt;($H9-1),0,IF($G9=AJ$28,1,IF(SUM($J9:AI9)=0,0,1))))*AJ$30</f>
        <v>#N/A</v>
      </c>
      <c r="AK9" s="320" t="e">
        <f ca="1">(IF(SUM($J9:AJ9)&gt;($H9-1),0,IF($G9=AK$28,1,IF(SUM($J9:AJ9)=0,0,1))))*AK$30</f>
        <v>#N/A</v>
      </c>
      <c r="AL9" s="320" t="e">
        <f ca="1">(IF(SUM($J9:AK9)&gt;($H9-1),0,IF($G9=AL$28,1,IF(SUM($J9:AK9)=0,0,1))))*AL$30</f>
        <v>#N/A</v>
      </c>
      <c r="AM9" s="320" t="e">
        <f ca="1">(IF(SUM($J9:AL9)&gt;($H9-1),0,IF($G9=AM$28,1,IF(SUM($J9:AL9)=0,0,1))))*AM$30</f>
        <v>#N/A</v>
      </c>
      <c r="AN9" s="320" t="e">
        <f ca="1">(IF(SUM($J9:AM9)&gt;($H9-1),0,IF($G9=AN$28,1,IF(SUM($J9:AM9)=0,0,1))))*AN$30</f>
        <v>#N/A</v>
      </c>
      <c r="AO9" s="320" t="e">
        <f ca="1">(IF(SUM($J9:AN9)&gt;($H9-1),0,IF($G9=AO$28,1,IF(SUM($J9:AN9)=0,0,1))))*AO$30</f>
        <v>#N/A</v>
      </c>
      <c r="AP9" s="320" t="e">
        <f ca="1">(IF(SUM($J9:AO9)&gt;($H9-1),0,IF($G9=AP$28,1,IF(SUM($J9:AO9)=0,0,1))))*AP$30</f>
        <v>#N/A</v>
      </c>
      <c r="AQ9" s="320" t="e">
        <f ca="1">(IF(SUM($J9:AP9)&gt;($H9-1),0,IF($G9=AQ$28,1,IF(SUM($J9:AP9)=0,0,1))))*AQ$30</f>
        <v>#N/A</v>
      </c>
      <c r="AR9" s="320" t="e">
        <f ca="1">(IF(SUM($J9:AQ9)&gt;($H9-1),0,IF($G9=AR$28,1,IF(SUM($J9:AQ9)=0,0,1))))*AR$30</f>
        <v>#N/A</v>
      </c>
      <c r="AS9" s="321" t="e">
        <f ca="1">(IF(SUM($J9:AR9)&gt;($H9-1),0,IF($G9=AS$28,1,IF(SUM($J9:AR9)=0,0,1))))*AS$30</f>
        <v>#N/A</v>
      </c>
      <c r="AT9" s="319" t="e">
        <f ca="1">(IF(SUM($J9:AS9)&gt;($H9-1),0,IF($G9=AT$28,1,IF(SUM($J9:AS9)=0,0,1))))*AT$30</f>
        <v>#N/A</v>
      </c>
      <c r="AU9" s="320" t="e">
        <f ca="1">(IF(SUM($J9:AT9)&gt;($H9-1),0,IF($G9=AU$28,1,IF(SUM($J9:AT9)=0,0,1))))*AU$30</f>
        <v>#N/A</v>
      </c>
      <c r="AV9" s="320" t="e">
        <f ca="1">(IF(SUM($J9:AU9)&gt;($H9-1),0,IF($G9=AV$28,1,IF(SUM($J9:AU9)=0,0,1))))*AV$30</f>
        <v>#N/A</v>
      </c>
      <c r="AW9" s="320" t="e">
        <f ca="1">(IF(SUM($J9:AV9)&gt;($H9-1),0,IF($G9=AW$28,1,IF(SUM($J9:AV9)=0,0,1))))*AW$30</f>
        <v>#N/A</v>
      </c>
      <c r="AX9" s="320" t="e">
        <f ca="1">(IF(SUM($J9:AW9)&gt;($H9-1),0,IF($G9=AX$28,1,IF(SUM($J9:AW9)=0,0,1))))*AX$30</f>
        <v>#N/A</v>
      </c>
      <c r="AY9" s="320" t="e">
        <f ca="1">(IF(SUM($J9:AX9)&gt;($H9-1),0,IF($G9=AY$28,1,IF(SUM($J9:AX9)=0,0,1))))*AY$30</f>
        <v>#N/A</v>
      </c>
      <c r="AZ9" s="320" t="e">
        <f ca="1">(IF(SUM($J9:AY9)&gt;($H9-1),0,IF($G9=AZ$28,1,IF(SUM($J9:AY9)=0,0,1))))*AZ$30</f>
        <v>#N/A</v>
      </c>
      <c r="BA9" s="320" t="e">
        <f ca="1">(IF(SUM($J9:AZ9)&gt;($H9-1),0,IF($G9=BA$28,1,IF(SUM($J9:AZ9)=0,0,1))))*BA$30</f>
        <v>#N/A</v>
      </c>
      <c r="BB9" s="320" t="e">
        <f ca="1">(IF(SUM($J9:BA9)&gt;($H9-1),0,IF($G9=BB$28,1,IF(SUM($J9:BA9)=0,0,1))))*BB$30</f>
        <v>#N/A</v>
      </c>
      <c r="BC9" s="320" t="e">
        <f ca="1">(IF(SUM($J9:BB9)&gt;($H9-1),0,IF($G9=BC$28,1,IF(SUM($J9:BB9)=0,0,1))))*BC$30</f>
        <v>#N/A</v>
      </c>
      <c r="BD9" s="320" t="e">
        <f ca="1">(IF(SUM($J9:BC9)&gt;($H9-1),0,IF($G9=BD$28,1,IF(SUM($J9:BC9)=0,0,1))))*BD$30</f>
        <v>#N/A</v>
      </c>
      <c r="BE9" s="321" t="e">
        <f ca="1">(IF(SUM($J9:BD9)&gt;($H9-1),0,IF($G9=BE$28,1,IF(SUM($J9:BD9)=0,0,1))))*BE$30</f>
        <v>#N/A</v>
      </c>
      <c r="BF9" s="322"/>
      <c r="BG9" s="323"/>
      <c r="BH9" s="323"/>
      <c r="BI9" s="323"/>
      <c r="BJ9" s="323"/>
      <c r="BK9" s="323"/>
      <c r="BL9" s="323"/>
      <c r="BM9" s="323"/>
      <c r="BN9" s="323"/>
      <c r="BO9" s="323"/>
      <c r="BP9" s="323"/>
      <c r="BQ9" s="323"/>
      <c r="BR9" s="323"/>
      <c r="BS9" s="323"/>
      <c r="BT9" s="323"/>
      <c r="BU9" s="323"/>
      <c r="BV9" s="323"/>
      <c r="BW9" s="323"/>
      <c r="BX9" s="323"/>
      <c r="BY9" s="323"/>
      <c r="BZ9" s="324">
        <f t="shared" si="3"/>
        <v>0</v>
      </c>
      <c r="CA9" s="325" t="str">
        <f t="shared" si="5"/>
        <v/>
      </c>
      <c r="CG9" s="169">
        <f t="shared" si="4"/>
        <v>0</v>
      </c>
    </row>
    <row r="10" spans="1:93">
      <c r="A10" s="169" t="s">
        <v>55</v>
      </c>
      <c r="B10" s="314" t="s">
        <v>620</v>
      </c>
      <c r="C10" s="315"/>
      <c r="D10" s="315"/>
      <c r="E10" s="315"/>
      <c r="F10" s="316"/>
      <c r="G10" s="326"/>
      <c r="H10" s="315"/>
      <c r="I10" s="318">
        <f>ROUNDUP((H10*F10),2)</f>
        <v>0</v>
      </c>
      <c r="J10" s="319">
        <f t="shared" ca="1" si="1"/>
        <v>0</v>
      </c>
      <c r="K10" s="320">
        <f t="shared" ca="1" si="2"/>
        <v>0</v>
      </c>
      <c r="L10" s="320" t="e">
        <f ca="1">(IF(SUM($J10:K10)&gt;($H10-1),0,IF($G10=L$28,1,IF(SUM($J10:K10)=0,0,1))))*L$30</f>
        <v>#N/A</v>
      </c>
      <c r="M10" s="320" t="e">
        <f ca="1">(IF(SUM($J10:L10)&gt;($H10-1),0,IF($G10=M$28,1,IF(SUM($J10:L10)=0,0,1))))*M$30</f>
        <v>#N/A</v>
      </c>
      <c r="N10" s="320" t="e">
        <f ca="1">(IF(SUM($J10:M10)&gt;($H10-1),0,IF($G10=N$28,1,IF(SUM($J10:M10)=0,0,1))))*N$30</f>
        <v>#N/A</v>
      </c>
      <c r="O10" s="320" t="e">
        <f ca="1">(IF(SUM($J10:N10)&gt;($H10-1),0,IF($G10=O$28,1,IF(SUM($J10:N10)=0,0,1))))*O$30</f>
        <v>#N/A</v>
      </c>
      <c r="P10" s="320" t="e">
        <f ca="1">(IF(SUM($J10:O10)&gt;($H10-1),0,IF($G10=P$28,1,IF(SUM($J10:O10)=0,0,1))))*P$30</f>
        <v>#N/A</v>
      </c>
      <c r="Q10" s="320" t="e">
        <f ca="1">(IF(SUM($J10:P10)&gt;($H10-1),0,IF($G10=Q$28,1,IF(SUM($J10:P10)=0,0,1))))*Q$30</f>
        <v>#N/A</v>
      </c>
      <c r="R10" s="320" t="e">
        <f ca="1">(IF(SUM($J10:Q10)&gt;($H10-1),0,IF($G10=R$28,1,IF(SUM($J10:Q10)=0,0,1))))*R$30</f>
        <v>#N/A</v>
      </c>
      <c r="S10" s="320" t="e">
        <f ca="1">(IF(SUM($J10:R10)&gt;($H10-1),0,IF($G10=S$28,1,IF(SUM($J10:R10)=0,0,1))))*S$30</f>
        <v>#N/A</v>
      </c>
      <c r="T10" s="320" t="e">
        <f ca="1">(IF(SUM($J10:S10)&gt;($H10-1),0,IF($G10=T$28,1,IF(SUM($J10:S10)=0,0,1))))*T$30</f>
        <v>#N/A</v>
      </c>
      <c r="U10" s="321" t="e">
        <f ca="1">(IF(SUM($J10:T10)&gt;($H10-1),0,IF($G10=U$28,1,IF(SUM($J10:T10)=0,0,1))))*U$30</f>
        <v>#N/A</v>
      </c>
      <c r="V10" s="319" t="e">
        <f ca="1">(IF(SUM($J10:U10)&gt;($H10-1),0,IF($G10=V$28,1,IF(SUM($J10:U10)=0,0,1))))*V$30</f>
        <v>#N/A</v>
      </c>
      <c r="W10" s="320" t="e">
        <f ca="1">(IF(SUM($J10:V10)&gt;($H10-1),0,IF($G10=W$28,1,IF(SUM($J10:V10)=0,0,1))))*W$30</f>
        <v>#N/A</v>
      </c>
      <c r="X10" s="320" t="e">
        <f ca="1">(IF(SUM($J10:W10)&gt;($H10-1),0,IF($G10=X$28,1,IF(SUM($J10:W10)=0,0,1))))*X$30</f>
        <v>#N/A</v>
      </c>
      <c r="Y10" s="320" t="e">
        <f ca="1">(IF(SUM($J10:X10)&gt;($H10-1),0,IF($G10=Y$28,1,IF(SUM($J10:X10)=0,0,1))))*Y$30</f>
        <v>#N/A</v>
      </c>
      <c r="Z10" s="320" t="e">
        <f ca="1">(IF(SUM($J10:Y10)&gt;($H10-1),0,IF($G10=Z$28,1,IF(SUM($J10:Y10)=0,0,1))))*Z$30</f>
        <v>#N/A</v>
      </c>
      <c r="AA10" s="320" t="e">
        <f ca="1">(IF(SUM($J10:Z10)&gt;($H10-1),0,IF($G10=AA$28,1,IF(SUM($J10:Z10)=0,0,1))))*AA$30</f>
        <v>#N/A</v>
      </c>
      <c r="AB10" s="320" t="e">
        <f ca="1">(IF(SUM($J10:AA10)&gt;($H10-1),0,IF($G10=AB$28,1,IF(SUM($J10:AA10)=0,0,1))))*AB$30</f>
        <v>#N/A</v>
      </c>
      <c r="AC10" s="320" t="e">
        <f ca="1">(IF(SUM($J10:AB10)&gt;($H10-1),0,IF($G10=AC$28,1,IF(SUM($J10:AB10)=0,0,1))))*AC$30</f>
        <v>#N/A</v>
      </c>
      <c r="AD10" s="320" t="e">
        <f ca="1">(IF(SUM($J10:AC10)&gt;($H10-1),0,IF($G10=AD$28,1,IF(SUM($J10:AC10)=0,0,1))))*AD$30</f>
        <v>#N/A</v>
      </c>
      <c r="AE10" s="320" t="e">
        <f ca="1">(IF(SUM($J10:AD10)&gt;($H10-1),0,IF($G10=AE$28,1,IF(SUM($J10:AD10)=0,0,1))))*AE$30</f>
        <v>#N/A</v>
      </c>
      <c r="AF10" s="320" t="e">
        <f ca="1">(IF(SUM($J10:AE10)&gt;($H10-1),0,IF($G10=AF$28,1,IF(SUM($J10:AE10)=0,0,1))))*AF$30</f>
        <v>#N/A</v>
      </c>
      <c r="AG10" s="321" t="e">
        <f ca="1">(IF(SUM($J10:AF10)&gt;($H10-1),0,IF($G10=AG$28,1,IF(SUM($J10:AF10)=0,0,1))))*AG$30</f>
        <v>#N/A</v>
      </c>
      <c r="AH10" s="319" t="e">
        <f ca="1">(IF(SUM($J10:AG10)&gt;($H10-1),0,IF($G10=AH$28,1,IF(SUM($J10:AG10)=0,0,1))))*AH$30</f>
        <v>#N/A</v>
      </c>
      <c r="AI10" s="320" t="e">
        <f ca="1">(IF(SUM($J10:AH10)&gt;($H10-1),0,IF($G10=AI$28,1,IF(SUM($J10:AH10)=0,0,1))))*AI$30</f>
        <v>#N/A</v>
      </c>
      <c r="AJ10" s="320" t="e">
        <f ca="1">(IF(SUM($J10:AI10)&gt;($H10-1),0,IF($G10=AJ$28,1,IF(SUM($J10:AI10)=0,0,1))))*AJ$30</f>
        <v>#N/A</v>
      </c>
      <c r="AK10" s="320" t="e">
        <f ca="1">(IF(SUM($J10:AJ10)&gt;($H10-1),0,IF($G10=AK$28,1,IF(SUM($J10:AJ10)=0,0,1))))*AK$30</f>
        <v>#N/A</v>
      </c>
      <c r="AL10" s="320" t="e">
        <f ca="1">(IF(SUM($J10:AK10)&gt;($H10-1),0,IF($G10=AL$28,1,IF(SUM($J10:AK10)=0,0,1))))*AL$30</f>
        <v>#N/A</v>
      </c>
      <c r="AM10" s="320" t="e">
        <f ca="1">(IF(SUM($J10:AL10)&gt;($H10-1),0,IF($G10=AM$28,1,IF(SUM($J10:AL10)=0,0,1))))*AM$30</f>
        <v>#N/A</v>
      </c>
      <c r="AN10" s="320" t="e">
        <f ca="1">(IF(SUM($J10:AM10)&gt;($H10-1),0,IF($G10=AN$28,1,IF(SUM($J10:AM10)=0,0,1))))*AN$30</f>
        <v>#N/A</v>
      </c>
      <c r="AO10" s="320" t="e">
        <f ca="1">(IF(SUM($J10:AN10)&gt;($H10-1),0,IF($G10=AO$28,1,IF(SUM($J10:AN10)=0,0,1))))*AO$30</f>
        <v>#N/A</v>
      </c>
      <c r="AP10" s="320" t="e">
        <f ca="1">(IF(SUM($J10:AO10)&gt;($H10-1),0,IF($G10=AP$28,1,IF(SUM($J10:AO10)=0,0,1))))*AP$30</f>
        <v>#N/A</v>
      </c>
      <c r="AQ10" s="320" t="e">
        <f ca="1">(IF(SUM($J10:AP10)&gt;($H10-1),0,IF($G10=AQ$28,1,IF(SUM($J10:AP10)=0,0,1))))*AQ$30</f>
        <v>#N/A</v>
      </c>
      <c r="AR10" s="320" t="e">
        <f ca="1">(IF(SUM($J10:AQ10)&gt;($H10-1),0,IF($G10=AR$28,1,IF(SUM($J10:AQ10)=0,0,1))))*AR$30</f>
        <v>#N/A</v>
      </c>
      <c r="AS10" s="321" t="e">
        <f ca="1">(IF(SUM($J10:AR10)&gt;($H10-1),0,IF($G10=AS$28,1,IF(SUM($J10:AR10)=0,0,1))))*AS$30</f>
        <v>#N/A</v>
      </c>
      <c r="AT10" s="319" t="e">
        <f ca="1">(IF(SUM($J10:AS10)&gt;($H10-1),0,IF($G10=AT$28,1,IF(SUM($J10:AS10)=0,0,1))))*AT$30</f>
        <v>#N/A</v>
      </c>
      <c r="AU10" s="320" t="e">
        <f ca="1">(IF(SUM($J10:AT10)&gt;($H10-1),0,IF($G10=AU$28,1,IF(SUM($J10:AT10)=0,0,1))))*AU$30</f>
        <v>#N/A</v>
      </c>
      <c r="AV10" s="320" t="e">
        <f ca="1">(IF(SUM($J10:AU10)&gt;($H10-1),0,IF($G10=AV$28,1,IF(SUM($J10:AU10)=0,0,1))))*AV$30</f>
        <v>#N/A</v>
      </c>
      <c r="AW10" s="320" t="e">
        <f ca="1">(IF(SUM($J10:AV10)&gt;($H10-1),0,IF($G10=AW$28,1,IF(SUM($J10:AV10)=0,0,1))))*AW$30</f>
        <v>#N/A</v>
      </c>
      <c r="AX10" s="320" t="e">
        <f ca="1">(IF(SUM($J10:AW10)&gt;($H10-1),0,IF($G10=AX$28,1,IF(SUM($J10:AW10)=0,0,1))))*AX$30</f>
        <v>#N/A</v>
      </c>
      <c r="AY10" s="320" t="e">
        <f ca="1">(IF(SUM($J10:AX10)&gt;($H10-1),0,IF($G10=AY$28,1,IF(SUM($J10:AX10)=0,0,1))))*AY$30</f>
        <v>#N/A</v>
      </c>
      <c r="AZ10" s="320" t="e">
        <f ca="1">(IF(SUM($J10:AY10)&gt;($H10-1),0,IF($G10=AZ$28,1,IF(SUM($J10:AY10)=0,0,1))))*AZ$30</f>
        <v>#N/A</v>
      </c>
      <c r="BA10" s="320" t="e">
        <f ca="1">(IF(SUM($J10:AZ10)&gt;($H10-1),0,IF($G10=BA$28,1,IF(SUM($J10:AZ10)=0,0,1))))*BA$30</f>
        <v>#N/A</v>
      </c>
      <c r="BB10" s="320" t="e">
        <f ca="1">(IF(SUM($J10:BA10)&gt;($H10-1),0,IF($G10=BB$28,1,IF(SUM($J10:BA10)=0,0,1))))*BB$30</f>
        <v>#N/A</v>
      </c>
      <c r="BC10" s="320" t="e">
        <f ca="1">(IF(SUM($J10:BB10)&gt;($H10-1),0,IF($G10=BC$28,1,IF(SUM($J10:BB10)=0,0,1))))*BC$30</f>
        <v>#N/A</v>
      </c>
      <c r="BD10" s="320" t="e">
        <f ca="1">(IF(SUM($J10:BC10)&gt;($H10-1),0,IF($G10=BD$28,1,IF(SUM($J10:BC10)=0,0,1))))*BD$30</f>
        <v>#N/A</v>
      </c>
      <c r="BE10" s="321" t="e">
        <f ca="1">(IF(SUM($J10:BD10)&gt;($H10-1),0,IF($G10=BE$28,1,IF(SUM($J10:BD10)=0,0,1))))*BE$30</f>
        <v>#N/A</v>
      </c>
      <c r="BF10" s="322"/>
      <c r="BG10" s="323"/>
      <c r="BH10" s="323"/>
      <c r="BI10" s="323"/>
      <c r="BJ10" s="323"/>
      <c r="BK10" s="323"/>
      <c r="BL10" s="323"/>
      <c r="BM10" s="323"/>
      <c r="BN10" s="323"/>
      <c r="BO10" s="323"/>
      <c r="BP10" s="323"/>
      <c r="BQ10" s="323"/>
      <c r="BR10" s="323"/>
      <c r="BS10" s="323"/>
      <c r="BT10" s="323"/>
      <c r="BU10" s="323"/>
      <c r="BV10" s="323"/>
      <c r="BW10" s="323"/>
      <c r="BX10" s="323"/>
      <c r="BY10" s="323"/>
      <c r="BZ10" s="324">
        <f t="shared" si="3"/>
        <v>0</v>
      </c>
      <c r="CA10" s="325" t="str">
        <f t="shared" si="5"/>
        <v/>
      </c>
      <c r="CG10" s="169">
        <f t="shared" si="4"/>
        <v>0</v>
      </c>
    </row>
    <row r="11" spans="1:93">
      <c r="A11" s="169" t="s">
        <v>56</v>
      </c>
      <c r="B11" s="314" t="s">
        <v>621</v>
      </c>
      <c r="C11" s="315"/>
      <c r="D11" s="315"/>
      <c r="E11" s="315"/>
      <c r="F11" s="316"/>
      <c r="G11" s="326"/>
      <c r="H11" s="315"/>
      <c r="I11" s="318">
        <f t="shared" si="0"/>
        <v>0</v>
      </c>
      <c r="J11" s="319">
        <f t="shared" ca="1" si="1"/>
        <v>0</v>
      </c>
      <c r="K11" s="320">
        <f t="shared" ca="1" si="2"/>
        <v>0</v>
      </c>
      <c r="L11" s="320" t="e">
        <f ca="1">(IF(SUM($J11:K11)&gt;($H11-1),0,IF($G11=L$28,1,IF(SUM($J11:K11)=0,0,1))))*L$30</f>
        <v>#N/A</v>
      </c>
      <c r="M11" s="320" t="e">
        <f ca="1">(IF(SUM($J11:L11)&gt;($H11-1),0,IF($G11=M$28,1,IF(SUM($J11:L11)=0,0,1))))*M$30</f>
        <v>#N/A</v>
      </c>
      <c r="N11" s="320" t="e">
        <f ca="1">(IF(SUM($J11:M11)&gt;($H11-1),0,IF($G11=N$28,1,IF(SUM($J11:M11)=0,0,1))))*N$30</f>
        <v>#N/A</v>
      </c>
      <c r="O11" s="320" t="e">
        <f ca="1">(IF(SUM($J11:N11)&gt;($H11-1),0,IF($G11=O$28,1,IF(SUM($J11:N11)=0,0,1))))*O$30</f>
        <v>#N/A</v>
      </c>
      <c r="P11" s="320" t="e">
        <f ca="1">(IF(SUM($J11:O11)&gt;($H11-1),0,IF($G11=P$28,1,IF(SUM($J11:O11)=0,0,1))))*P$30</f>
        <v>#N/A</v>
      </c>
      <c r="Q11" s="320" t="e">
        <f ca="1">(IF(SUM($J11:P11)&gt;($H11-1),0,IF($G11=Q$28,1,IF(SUM($J11:P11)=0,0,1))))*Q$30</f>
        <v>#N/A</v>
      </c>
      <c r="R11" s="320" t="e">
        <f ca="1">(IF(SUM($J11:Q11)&gt;($H11-1),0,IF($G11=R$28,1,IF(SUM($J11:Q11)=0,0,1))))*R$30</f>
        <v>#N/A</v>
      </c>
      <c r="S11" s="320" t="e">
        <f ca="1">(IF(SUM($J11:R11)&gt;($H11-1),0,IF($G11=S$28,1,IF(SUM($J11:R11)=0,0,1))))*S$30</f>
        <v>#N/A</v>
      </c>
      <c r="T11" s="320" t="e">
        <f ca="1">(IF(SUM($J11:S11)&gt;($H11-1),0,IF($G11=T$28,1,IF(SUM($J11:S11)=0,0,1))))*T$30</f>
        <v>#N/A</v>
      </c>
      <c r="U11" s="321" t="e">
        <f ca="1">(IF(SUM($J11:T11)&gt;($H11-1),0,IF($G11=U$28,1,IF(SUM($J11:T11)=0,0,1))))*U$30</f>
        <v>#N/A</v>
      </c>
      <c r="V11" s="319" t="e">
        <f ca="1">(IF(SUM($J11:U11)&gt;($H11-1),0,IF($G11=V$28,1,IF(SUM($J11:U11)=0,0,1))))*V$30</f>
        <v>#N/A</v>
      </c>
      <c r="W11" s="320" t="e">
        <f ca="1">(IF(SUM($J11:V11)&gt;($H11-1),0,IF($G11=W$28,1,IF(SUM($J11:V11)=0,0,1))))*W$30</f>
        <v>#N/A</v>
      </c>
      <c r="X11" s="320" t="e">
        <f ca="1">(IF(SUM($J11:W11)&gt;($H11-1),0,IF($G11=X$28,1,IF(SUM($J11:W11)=0,0,1))))*X$30</f>
        <v>#N/A</v>
      </c>
      <c r="Y11" s="320" t="e">
        <f ca="1">(IF(SUM($J11:X11)&gt;($H11-1),0,IF($G11=Y$28,1,IF(SUM($J11:X11)=0,0,1))))*Y$30</f>
        <v>#N/A</v>
      </c>
      <c r="Z11" s="320" t="e">
        <f ca="1">(IF(SUM($J11:Y11)&gt;($H11-1),0,IF($G11=Z$28,1,IF(SUM($J11:Y11)=0,0,1))))*Z$30</f>
        <v>#N/A</v>
      </c>
      <c r="AA11" s="320" t="e">
        <f ca="1">(IF(SUM($J11:Z11)&gt;($H11-1),0,IF($G11=AA$28,1,IF(SUM($J11:Z11)=0,0,1))))*AA$30</f>
        <v>#N/A</v>
      </c>
      <c r="AB11" s="320" t="e">
        <f ca="1">(IF(SUM($J11:AA11)&gt;($H11-1),0,IF($G11=AB$28,1,IF(SUM($J11:AA11)=0,0,1))))*AB$30</f>
        <v>#N/A</v>
      </c>
      <c r="AC11" s="320" t="e">
        <f ca="1">(IF(SUM($J11:AB11)&gt;($H11-1),0,IF($G11=AC$28,1,IF(SUM($J11:AB11)=0,0,1))))*AC$30</f>
        <v>#N/A</v>
      </c>
      <c r="AD11" s="320" t="e">
        <f ca="1">(IF(SUM($J11:AC11)&gt;($H11-1),0,IF($G11=AD$28,1,IF(SUM($J11:AC11)=0,0,1))))*AD$30</f>
        <v>#N/A</v>
      </c>
      <c r="AE11" s="320" t="e">
        <f ca="1">(IF(SUM($J11:AD11)&gt;($H11-1),0,IF($G11=AE$28,1,IF(SUM($J11:AD11)=0,0,1))))*AE$30</f>
        <v>#N/A</v>
      </c>
      <c r="AF11" s="320" t="e">
        <f ca="1">(IF(SUM($J11:AE11)&gt;($H11-1),0,IF($G11=AF$28,1,IF(SUM($J11:AE11)=0,0,1))))*AF$30</f>
        <v>#N/A</v>
      </c>
      <c r="AG11" s="321" t="e">
        <f ca="1">(IF(SUM($J11:AF11)&gt;($H11-1),0,IF($G11=AG$28,1,IF(SUM($J11:AF11)=0,0,1))))*AG$30</f>
        <v>#N/A</v>
      </c>
      <c r="AH11" s="319" t="e">
        <f ca="1">(IF(SUM($J11:AG11)&gt;($H11-1),0,IF($G11=AH$28,1,IF(SUM($J11:AG11)=0,0,1))))*AH$30</f>
        <v>#N/A</v>
      </c>
      <c r="AI11" s="320" t="e">
        <f ca="1">(IF(SUM($J11:AH11)&gt;($H11-1),0,IF($G11=AI$28,1,IF(SUM($J11:AH11)=0,0,1))))*AI$30</f>
        <v>#N/A</v>
      </c>
      <c r="AJ11" s="320" t="e">
        <f ca="1">(IF(SUM($J11:AI11)&gt;($H11-1),0,IF($G11=AJ$28,1,IF(SUM($J11:AI11)=0,0,1))))*AJ$30</f>
        <v>#N/A</v>
      </c>
      <c r="AK11" s="320" t="e">
        <f ca="1">(IF(SUM($J11:AJ11)&gt;($H11-1),0,IF($G11=AK$28,1,IF(SUM($J11:AJ11)=0,0,1))))*AK$30</f>
        <v>#N/A</v>
      </c>
      <c r="AL11" s="320" t="e">
        <f ca="1">(IF(SUM($J11:AK11)&gt;($H11-1),0,IF($G11=AL$28,1,IF(SUM($J11:AK11)=0,0,1))))*AL$30</f>
        <v>#N/A</v>
      </c>
      <c r="AM11" s="320" t="e">
        <f ca="1">(IF(SUM($J11:AL11)&gt;($H11-1),0,IF($G11=AM$28,1,IF(SUM($J11:AL11)=0,0,1))))*AM$30</f>
        <v>#N/A</v>
      </c>
      <c r="AN11" s="320" t="e">
        <f ca="1">(IF(SUM($J11:AM11)&gt;($H11-1),0,IF($G11=AN$28,1,IF(SUM($J11:AM11)=0,0,1))))*AN$30</f>
        <v>#N/A</v>
      </c>
      <c r="AO11" s="320" t="e">
        <f ca="1">(IF(SUM($J11:AN11)&gt;($H11-1),0,IF($G11=AO$28,1,IF(SUM($J11:AN11)=0,0,1))))*AO$30</f>
        <v>#N/A</v>
      </c>
      <c r="AP11" s="320" t="e">
        <f ca="1">(IF(SUM($J11:AO11)&gt;($H11-1),0,IF($G11=AP$28,1,IF(SUM($J11:AO11)=0,0,1))))*AP$30</f>
        <v>#N/A</v>
      </c>
      <c r="AQ11" s="320" t="e">
        <f ca="1">(IF(SUM($J11:AP11)&gt;($H11-1),0,IF($G11=AQ$28,1,IF(SUM($J11:AP11)=0,0,1))))*AQ$30</f>
        <v>#N/A</v>
      </c>
      <c r="AR11" s="320" t="e">
        <f ca="1">(IF(SUM($J11:AQ11)&gt;($H11-1),0,IF($G11=AR$28,1,IF(SUM($J11:AQ11)=0,0,1))))*AR$30</f>
        <v>#N/A</v>
      </c>
      <c r="AS11" s="321" t="e">
        <f ca="1">(IF(SUM($J11:AR11)&gt;($H11-1),0,IF($G11=AS$28,1,IF(SUM($J11:AR11)=0,0,1))))*AS$30</f>
        <v>#N/A</v>
      </c>
      <c r="AT11" s="319" t="e">
        <f ca="1">(IF(SUM($J11:AS11)&gt;($H11-1),0,IF($G11=AT$28,1,IF(SUM($J11:AS11)=0,0,1))))*AT$30</f>
        <v>#N/A</v>
      </c>
      <c r="AU11" s="320" t="e">
        <f ca="1">(IF(SUM($J11:AT11)&gt;($H11-1),0,IF($G11=AU$28,1,IF(SUM($J11:AT11)=0,0,1))))*AU$30</f>
        <v>#N/A</v>
      </c>
      <c r="AV11" s="320" t="e">
        <f ca="1">(IF(SUM($J11:AU11)&gt;($H11-1),0,IF($G11=AV$28,1,IF(SUM($J11:AU11)=0,0,1))))*AV$30</f>
        <v>#N/A</v>
      </c>
      <c r="AW11" s="320" t="e">
        <f ca="1">(IF(SUM($J11:AV11)&gt;($H11-1),0,IF($G11=AW$28,1,IF(SUM($J11:AV11)=0,0,1))))*AW$30</f>
        <v>#N/A</v>
      </c>
      <c r="AX11" s="320" t="e">
        <f ca="1">(IF(SUM($J11:AW11)&gt;($H11-1),0,IF($G11=AX$28,1,IF(SUM($J11:AW11)=0,0,1))))*AX$30</f>
        <v>#N/A</v>
      </c>
      <c r="AY11" s="320" t="e">
        <f ca="1">(IF(SUM($J11:AX11)&gt;($H11-1),0,IF($G11=AY$28,1,IF(SUM($J11:AX11)=0,0,1))))*AY$30</f>
        <v>#N/A</v>
      </c>
      <c r="AZ11" s="320" t="e">
        <f ca="1">(IF(SUM($J11:AY11)&gt;($H11-1),0,IF($G11=AZ$28,1,IF(SUM($J11:AY11)=0,0,1))))*AZ$30</f>
        <v>#N/A</v>
      </c>
      <c r="BA11" s="320" t="e">
        <f ca="1">(IF(SUM($J11:AZ11)&gt;($H11-1),0,IF($G11=BA$28,1,IF(SUM($J11:AZ11)=0,0,1))))*BA$30</f>
        <v>#N/A</v>
      </c>
      <c r="BB11" s="320" t="e">
        <f ca="1">(IF(SUM($J11:BA11)&gt;($H11-1),0,IF($G11=BB$28,1,IF(SUM($J11:BA11)=0,0,1))))*BB$30</f>
        <v>#N/A</v>
      </c>
      <c r="BC11" s="320" t="e">
        <f ca="1">(IF(SUM($J11:BB11)&gt;($H11-1),0,IF($G11=BC$28,1,IF(SUM($J11:BB11)=0,0,1))))*BC$30</f>
        <v>#N/A</v>
      </c>
      <c r="BD11" s="320" t="e">
        <f ca="1">(IF(SUM($J11:BC11)&gt;($H11-1),0,IF($G11=BD$28,1,IF(SUM($J11:BC11)=0,0,1))))*BD$30</f>
        <v>#N/A</v>
      </c>
      <c r="BE11" s="321" t="e">
        <f ca="1">(IF(SUM($J11:BD11)&gt;($H11-1),0,IF($G11=BE$28,1,IF(SUM($J11:BD11)=0,0,1))))*BE$30</f>
        <v>#N/A</v>
      </c>
      <c r="BF11" s="322"/>
      <c r="BG11" s="323"/>
      <c r="BH11" s="323"/>
      <c r="BI11" s="323"/>
      <c r="BJ11" s="323"/>
      <c r="BK11" s="323"/>
      <c r="BL11" s="323"/>
      <c r="BM11" s="323"/>
      <c r="BN11" s="323"/>
      <c r="BO11" s="323"/>
      <c r="BP11" s="323"/>
      <c r="BQ11" s="323"/>
      <c r="BR11" s="323"/>
      <c r="BS11" s="323"/>
      <c r="BT11" s="323"/>
      <c r="BU11" s="323"/>
      <c r="BV11" s="323"/>
      <c r="BW11" s="323"/>
      <c r="BX11" s="323"/>
      <c r="BY11" s="323"/>
      <c r="BZ11" s="324">
        <f t="shared" si="3"/>
        <v>0</v>
      </c>
      <c r="CA11" s="325" t="str">
        <f t="shared" si="5"/>
        <v/>
      </c>
      <c r="CG11" s="169">
        <f t="shared" si="4"/>
        <v>0</v>
      </c>
    </row>
    <row r="12" spans="1:93">
      <c r="A12" s="169" t="s">
        <v>57</v>
      </c>
      <c r="B12" s="314" t="s">
        <v>622</v>
      </c>
      <c r="C12" s="315"/>
      <c r="D12" s="315"/>
      <c r="E12" s="315"/>
      <c r="F12" s="316"/>
      <c r="G12" s="326"/>
      <c r="H12" s="315"/>
      <c r="I12" s="318">
        <f t="shared" si="0"/>
        <v>0</v>
      </c>
      <c r="J12" s="319">
        <f t="shared" ca="1" si="1"/>
        <v>0</v>
      </c>
      <c r="K12" s="320">
        <f t="shared" ca="1" si="2"/>
        <v>0</v>
      </c>
      <c r="L12" s="320" t="e">
        <f ca="1">(IF(SUM($J12:K12)&gt;($H12-1),0,IF($G12=L$28,1,IF(SUM($J12:K12)=0,0,1))))*L$30</f>
        <v>#N/A</v>
      </c>
      <c r="M12" s="320" t="e">
        <f ca="1">(IF(SUM($J12:L12)&gt;($H12-1),0,IF($G12=M$28,1,IF(SUM($J12:L12)=0,0,1))))*M$30</f>
        <v>#N/A</v>
      </c>
      <c r="N12" s="320" t="e">
        <f ca="1">(IF(SUM($J12:M12)&gt;($H12-1),0,IF($G12=N$28,1,IF(SUM($J12:M12)=0,0,1))))*N$30</f>
        <v>#N/A</v>
      </c>
      <c r="O12" s="320" t="e">
        <f ca="1">(IF(SUM($J12:N12)&gt;($H12-1),0,IF($G12=O$28,1,IF(SUM($J12:N12)=0,0,1))))*O$30</f>
        <v>#N/A</v>
      </c>
      <c r="P12" s="320" t="e">
        <f ca="1">(IF(SUM($J12:O12)&gt;($H12-1),0,IF($G12=P$28,1,IF(SUM($J12:O12)=0,0,1))))*P$30</f>
        <v>#N/A</v>
      </c>
      <c r="Q12" s="320" t="e">
        <f ca="1">(IF(SUM($J12:P12)&gt;($H12-1),0,IF($G12=Q$28,1,IF(SUM($J12:P12)=0,0,1))))*Q$30</f>
        <v>#N/A</v>
      </c>
      <c r="R12" s="320" t="e">
        <f ca="1">(IF(SUM($J12:Q12)&gt;($H12-1),0,IF($G12=R$28,1,IF(SUM($J12:Q12)=0,0,1))))*R$30</f>
        <v>#N/A</v>
      </c>
      <c r="S12" s="320" t="e">
        <f ca="1">(IF(SUM($J12:R12)&gt;($H12-1),0,IF($G12=S$28,1,IF(SUM($J12:R12)=0,0,1))))*S$30</f>
        <v>#N/A</v>
      </c>
      <c r="T12" s="320" t="e">
        <f ca="1">(IF(SUM($J12:S12)&gt;($H12-1),0,IF($G12=T$28,1,IF(SUM($J12:S12)=0,0,1))))*T$30</f>
        <v>#N/A</v>
      </c>
      <c r="U12" s="321" t="e">
        <f ca="1">(IF(SUM($J12:T12)&gt;($H12-1),0,IF($G12=U$28,1,IF(SUM($J12:T12)=0,0,1))))*U$30</f>
        <v>#N/A</v>
      </c>
      <c r="V12" s="319" t="e">
        <f ca="1">(IF(SUM($J12:U12)&gt;($H12-1),0,IF($G12=V$28,1,IF(SUM($J12:U12)=0,0,1))))*V$30</f>
        <v>#N/A</v>
      </c>
      <c r="W12" s="320" t="e">
        <f ca="1">(IF(SUM($J12:V12)&gt;($H12-1),0,IF($G12=W$28,1,IF(SUM($J12:V12)=0,0,1))))*W$30</f>
        <v>#N/A</v>
      </c>
      <c r="X12" s="320" t="e">
        <f ca="1">(IF(SUM($J12:W12)&gt;($H12-1),0,IF($G12=X$28,1,IF(SUM($J12:W12)=0,0,1))))*X$30</f>
        <v>#N/A</v>
      </c>
      <c r="Y12" s="320" t="e">
        <f ca="1">(IF(SUM($J12:X12)&gt;($H12-1),0,IF($G12=Y$28,1,IF(SUM($J12:X12)=0,0,1))))*Y$30</f>
        <v>#N/A</v>
      </c>
      <c r="Z12" s="320" t="e">
        <f ca="1">(IF(SUM($J12:Y12)&gt;($H12-1),0,IF($G12=Z$28,1,IF(SUM($J12:Y12)=0,0,1))))*Z$30</f>
        <v>#N/A</v>
      </c>
      <c r="AA12" s="320" t="e">
        <f ca="1">(IF(SUM($J12:Z12)&gt;($H12-1),0,IF($G12=AA$28,1,IF(SUM($J12:Z12)=0,0,1))))*AA$30</f>
        <v>#N/A</v>
      </c>
      <c r="AB12" s="320" t="e">
        <f ca="1">(IF(SUM($J12:AA12)&gt;($H12-1),0,IF($G12=AB$28,1,IF(SUM($J12:AA12)=0,0,1))))*AB$30</f>
        <v>#N/A</v>
      </c>
      <c r="AC12" s="320" t="e">
        <f ca="1">(IF(SUM($J12:AB12)&gt;($H12-1),0,IF($G12=AC$28,1,IF(SUM($J12:AB12)=0,0,1))))*AC$30</f>
        <v>#N/A</v>
      </c>
      <c r="AD12" s="320" t="e">
        <f ca="1">(IF(SUM($J12:AC12)&gt;($H12-1),0,IF($G12=AD$28,1,IF(SUM($J12:AC12)=0,0,1))))*AD$30</f>
        <v>#N/A</v>
      </c>
      <c r="AE12" s="320" t="e">
        <f ca="1">(IF(SUM($J12:AD12)&gt;($H12-1),0,IF($G12=AE$28,1,IF(SUM($J12:AD12)=0,0,1))))*AE$30</f>
        <v>#N/A</v>
      </c>
      <c r="AF12" s="320" t="e">
        <f ca="1">(IF(SUM($J12:AE12)&gt;($H12-1),0,IF($G12=AF$28,1,IF(SUM($J12:AE12)=0,0,1))))*AF$30</f>
        <v>#N/A</v>
      </c>
      <c r="AG12" s="321" t="e">
        <f ca="1">(IF(SUM($J12:AF12)&gt;($H12-1),0,IF($G12=AG$28,1,IF(SUM($J12:AF12)=0,0,1))))*AG$30</f>
        <v>#N/A</v>
      </c>
      <c r="AH12" s="319" t="e">
        <f ca="1">(IF(SUM($J12:AG12)&gt;($H12-1),0,IF($G12=AH$28,1,IF(SUM($J12:AG12)=0,0,1))))*AH$30</f>
        <v>#N/A</v>
      </c>
      <c r="AI12" s="320" t="e">
        <f ca="1">(IF(SUM($J12:AH12)&gt;($H12-1),0,IF($G12=AI$28,1,IF(SUM($J12:AH12)=0,0,1))))*AI$30</f>
        <v>#N/A</v>
      </c>
      <c r="AJ12" s="320" t="e">
        <f ca="1">(IF(SUM($J12:AI12)&gt;($H12-1),0,IF($G12=AJ$28,1,IF(SUM($J12:AI12)=0,0,1))))*AJ$30</f>
        <v>#N/A</v>
      </c>
      <c r="AK12" s="320" t="e">
        <f ca="1">(IF(SUM($J12:AJ12)&gt;($H12-1),0,IF($G12=AK$28,1,IF(SUM($J12:AJ12)=0,0,1))))*AK$30</f>
        <v>#N/A</v>
      </c>
      <c r="AL12" s="320" t="e">
        <f ca="1">(IF(SUM($J12:AK12)&gt;($H12-1),0,IF($G12=AL$28,1,IF(SUM($J12:AK12)=0,0,1))))*AL$30</f>
        <v>#N/A</v>
      </c>
      <c r="AM12" s="320" t="e">
        <f ca="1">(IF(SUM($J12:AL12)&gt;($H12-1),0,IF($G12=AM$28,1,IF(SUM($J12:AL12)=0,0,1))))*AM$30</f>
        <v>#N/A</v>
      </c>
      <c r="AN12" s="320" t="e">
        <f ca="1">(IF(SUM($J12:AM12)&gt;($H12-1),0,IF($G12=AN$28,1,IF(SUM($J12:AM12)=0,0,1))))*AN$30</f>
        <v>#N/A</v>
      </c>
      <c r="AO12" s="320" t="e">
        <f ca="1">(IF(SUM($J12:AN12)&gt;($H12-1),0,IF($G12=AO$28,1,IF(SUM($J12:AN12)=0,0,1))))*AO$30</f>
        <v>#N/A</v>
      </c>
      <c r="AP12" s="320" t="e">
        <f ca="1">(IF(SUM($J12:AO12)&gt;($H12-1),0,IF($G12=AP$28,1,IF(SUM($J12:AO12)=0,0,1))))*AP$30</f>
        <v>#N/A</v>
      </c>
      <c r="AQ12" s="320" t="e">
        <f ca="1">(IF(SUM($J12:AP12)&gt;($H12-1),0,IF($G12=AQ$28,1,IF(SUM($J12:AP12)=0,0,1))))*AQ$30</f>
        <v>#N/A</v>
      </c>
      <c r="AR12" s="320" t="e">
        <f ca="1">(IF(SUM($J12:AQ12)&gt;($H12-1),0,IF($G12=AR$28,1,IF(SUM($J12:AQ12)=0,0,1))))*AR$30</f>
        <v>#N/A</v>
      </c>
      <c r="AS12" s="321" t="e">
        <f ca="1">(IF(SUM($J12:AR12)&gt;($H12-1),0,IF($G12=AS$28,1,IF(SUM($J12:AR12)=0,0,1))))*AS$30</f>
        <v>#N/A</v>
      </c>
      <c r="AT12" s="319" t="e">
        <f ca="1">(IF(SUM($J12:AS12)&gt;($H12-1),0,IF($G12=AT$28,1,IF(SUM($J12:AS12)=0,0,1))))*AT$30</f>
        <v>#N/A</v>
      </c>
      <c r="AU12" s="320" t="e">
        <f ca="1">(IF(SUM($J12:AT12)&gt;($H12-1),0,IF($G12=AU$28,1,IF(SUM($J12:AT12)=0,0,1))))*AU$30</f>
        <v>#N/A</v>
      </c>
      <c r="AV12" s="320" t="e">
        <f ca="1">(IF(SUM($J12:AU12)&gt;($H12-1),0,IF($G12=AV$28,1,IF(SUM($J12:AU12)=0,0,1))))*AV$30</f>
        <v>#N/A</v>
      </c>
      <c r="AW12" s="320" t="e">
        <f ca="1">(IF(SUM($J12:AV12)&gt;($H12-1),0,IF($G12=AW$28,1,IF(SUM($J12:AV12)=0,0,1))))*AW$30</f>
        <v>#N/A</v>
      </c>
      <c r="AX12" s="320" t="e">
        <f ca="1">(IF(SUM($J12:AW12)&gt;($H12-1),0,IF($G12=AX$28,1,IF(SUM($J12:AW12)=0,0,1))))*AX$30</f>
        <v>#N/A</v>
      </c>
      <c r="AY12" s="320" t="e">
        <f ca="1">(IF(SUM($J12:AX12)&gt;($H12-1),0,IF($G12=AY$28,1,IF(SUM($J12:AX12)=0,0,1))))*AY$30</f>
        <v>#N/A</v>
      </c>
      <c r="AZ12" s="320" t="e">
        <f ca="1">(IF(SUM($J12:AY12)&gt;($H12-1),0,IF($G12=AZ$28,1,IF(SUM($J12:AY12)=0,0,1))))*AZ$30</f>
        <v>#N/A</v>
      </c>
      <c r="BA12" s="320" t="e">
        <f ca="1">(IF(SUM($J12:AZ12)&gt;($H12-1),0,IF($G12=BA$28,1,IF(SUM($J12:AZ12)=0,0,1))))*BA$30</f>
        <v>#N/A</v>
      </c>
      <c r="BB12" s="320" t="e">
        <f ca="1">(IF(SUM($J12:BA12)&gt;($H12-1),0,IF($G12=BB$28,1,IF(SUM($J12:BA12)=0,0,1))))*BB$30</f>
        <v>#N/A</v>
      </c>
      <c r="BC12" s="320" t="e">
        <f ca="1">(IF(SUM($J12:BB12)&gt;($H12-1),0,IF($G12=BC$28,1,IF(SUM($J12:BB12)=0,0,1))))*BC$30</f>
        <v>#N/A</v>
      </c>
      <c r="BD12" s="320" t="e">
        <f ca="1">(IF(SUM($J12:BC12)&gt;($H12-1),0,IF($G12=BD$28,1,IF(SUM($J12:BC12)=0,0,1))))*BD$30</f>
        <v>#N/A</v>
      </c>
      <c r="BE12" s="321" t="e">
        <f ca="1">(IF(SUM($J12:BD12)&gt;($H12-1),0,IF($G12=BE$28,1,IF(SUM($J12:BD12)=0,0,1))))*BE$30</f>
        <v>#N/A</v>
      </c>
      <c r="BF12" s="322"/>
      <c r="BG12" s="323"/>
      <c r="BH12" s="323"/>
      <c r="BI12" s="323"/>
      <c r="BJ12" s="323"/>
      <c r="BK12" s="323"/>
      <c r="BL12" s="323"/>
      <c r="BM12" s="323"/>
      <c r="BN12" s="323"/>
      <c r="BO12" s="323"/>
      <c r="BP12" s="323"/>
      <c r="BQ12" s="323"/>
      <c r="BR12" s="323"/>
      <c r="BS12" s="323"/>
      <c r="BT12" s="323"/>
      <c r="BU12" s="323"/>
      <c r="BV12" s="323"/>
      <c r="BW12" s="323"/>
      <c r="BX12" s="323"/>
      <c r="BY12" s="323"/>
      <c r="BZ12" s="324">
        <f t="shared" si="3"/>
        <v>0</v>
      </c>
      <c r="CA12" s="325" t="str">
        <f t="shared" si="5"/>
        <v/>
      </c>
      <c r="CG12" s="169">
        <f t="shared" si="4"/>
        <v>0</v>
      </c>
    </row>
    <row r="13" spans="1:93">
      <c r="A13" s="169" t="s">
        <v>58</v>
      </c>
      <c r="B13" s="314" t="s">
        <v>623</v>
      </c>
      <c r="C13" s="315"/>
      <c r="D13" s="315"/>
      <c r="E13" s="315"/>
      <c r="F13" s="316"/>
      <c r="G13" s="326"/>
      <c r="H13" s="315"/>
      <c r="I13" s="318">
        <f t="shared" si="0"/>
        <v>0</v>
      </c>
      <c r="J13" s="319">
        <f t="shared" ca="1" si="1"/>
        <v>0</v>
      </c>
      <c r="K13" s="320">
        <f t="shared" ca="1" si="2"/>
        <v>0</v>
      </c>
      <c r="L13" s="320" t="e">
        <f ca="1">(IF(SUM($J13:K13)&gt;($H13-1),0,IF($G13=L$28,1,IF(SUM($J13:K13)=0,0,1))))*L$30</f>
        <v>#N/A</v>
      </c>
      <c r="M13" s="320" t="e">
        <f ca="1">(IF(SUM($J13:L13)&gt;($H13-1),0,IF($G13=M$28,1,IF(SUM($J13:L13)=0,0,1))))*M$30</f>
        <v>#N/A</v>
      </c>
      <c r="N13" s="320" t="e">
        <f ca="1">(IF(SUM($J13:M13)&gt;($H13-1),0,IF($G13=N$28,1,IF(SUM($J13:M13)=0,0,1))))*N$30</f>
        <v>#N/A</v>
      </c>
      <c r="O13" s="320" t="e">
        <f ca="1">(IF(SUM($J13:N13)&gt;($H13-1),0,IF($G13=O$28,1,IF(SUM($J13:N13)=0,0,1))))*O$30</f>
        <v>#N/A</v>
      </c>
      <c r="P13" s="320" t="e">
        <f ca="1">(IF(SUM($J13:O13)&gt;($H13-1),0,IF($G13=P$28,1,IF(SUM($J13:O13)=0,0,1))))*P$30</f>
        <v>#N/A</v>
      </c>
      <c r="Q13" s="320" t="e">
        <f ca="1">(IF(SUM($J13:P13)&gt;($H13-1),0,IF($G13=Q$28,1,IF(SUM($J13:P13)=0,0,1))))*Q$30</f>
        <v>#N/A</v>
      </c>
      <c r="R13" s="320" t="e">
        <f ca="1">(IF(SUM($J13:Q13)&gt;($H13-1),0,IF($G13=R$28,1,IF(SUM($J13:Q13)=0,0,1))))*R$30</f>
        <v>#N/A</v>
      </c>
      <c r="S13" s="320" t="e">
        <f ca="1">(IF(SUM($J13:R13)&gt;($H13-1),0,IF($G13=S$28,1,IF(SUM($J13:R13)=0,0,1))))*S$30</f>
        <v>#N/A</v>
      </c>
      <c r="T13" s="320" t="e">
        <f ca="1">(IF(SUM($J13:S13)&gt;($H13-1),0,IF($G13=T$28,1,IF(SUM($J13:S13)=0,0,1))))*T$30</f>
        <v>#N/A</v>
      </c>
      <c r="U13" s="321" t="e">
        <f ca="1">(IF(SUM($J13:T13)&gt;($H13-1),0,IF($G13=U$28,1,IF(SUM($J13:T13)=0,0,1))))*U$30</f>
        <v>#N/A</v>
      </c>
      <c r="V13" s="319" t="e">
        <f ca="1">(IF(SUM($J13:U13)&gt;($H13-1),0,IF($G13=V$28,1,IF(SUM($J13:U13)=0,0,1))))*V$30</f>
        <v>#N/A</v>
      </c>
      <c r="W13" s="320" t="e">
        <f ca="1">(IF(SUM($J13:V13)&gt;($H13-1),0,IF($G13=W$28,1,IF(SUM($J13:V13)=0,0,1))))*W$30</f>
        <v>#N/A</v>
      </c>
      <c r="X13" s="320" t="e">
        <f ca="1">(IF(SUM($J13:W13)&gt;($H13-1),0,IF($G13=X$28,1,IF(SUM($J13:W13)=0,0,1))))*X$30</f>
        <v>#N/A</v>
      </c>
      <c r="Y13" s="320" t="e">
        <f ca="1">(IF(SUM($J13:X13)&gt;($H13-1),0,IF($G13=Y$28,1,IF(SUM($J13:X13)=0,0,1))))*Y$30</f>
        <v>#N/A</v>
      </c>
      <c r="Z13" s="320" t="e">
        <f ca="1">(IF(SUM($J13:Y13)&gt;($H13-1),0,IF($G13=Z$28,1,IF(SUM($J13:Y13)=0,0,1))))*Z$30</f>
        <v>#N/A</v>
      </c>
      <c r="AA13" s="320" t="e">
        <f ca="1">(IF(SUM($J13:Z13)&gt;($H13-1),0,IF($G13=AA$28,1,IF(SUM($J13:Z13)=0,0,1))))*AA$30</f>
        <v>#N/A</v>
      </c>
      <c r="AB13" s="320" t="e">
        <f ca="1">(IF(SUM($J13:AA13)&gt;($H13-1),0,IF($G13=AB$28,1,IF(SUM($J13:AA13)=0,0,1))))*AB$30</f>
        <v>#N/A</v>
      </c>
      <c r="AC13" s="320" t="e">
        <f ca="1">(IF(SUM($J13:AB13)&gt;($H13-1),0,IF($G13=AC$28,1,IF(SUM($J13:AB13)=0,0,1))))*AC$30</f>
        <v>#N/A</v>
      </c>
      <c r="AD13" s="320" t="e">
        <f ca="1">(IF(SUM($J13:AC13)&gt;($H13-1),0,IF($G13=AD$28,1,IF(SUM($J13:AC13)=0,0,1))))*AD$30</f>
        <v>#N/A</v>
      </c>
      <c r="AE13" s="320" t="e">
        <f ca="1">(IF(SUM($J13:AD13)&gt;($H13-1),0,IF($G13=AE$28,1,IF(SUM($J13:AD13)=0,0,1))))*AE$30</f>
        <v>#N/A</v>
      </c>
      <c r="AF13" s="320" t="e">
        <f ca="1">(IF(SUM($J13:AE13)&gt;($H13-1),0,IF($G13=AF$28,1,IF(SUM($J13:AE13)=0,0,1))))*AF$30</f>
        <v>#N/A</v>
      </c>
      <c r="AG13" s="321" t="e">
        <f ca="1">(IF(SUM($J13:AF13)&gt;($H13-1),0,IF($G13=AG$28,1,IF(SUM($J13:AF13)=0,0,1))))*AG$30</f>
        <v>#N/A</v>
      </c>
      <c r="AH13" s="319" t="e">
        <f ca="1">(IF(SUM($J13:AG13)&gt;($H13-1),0,IF($G13=AH$28,1,IF(SUM($J13:AG13)=0,0,1))))*AH$30</f>
        <v>#N/A</v>
      </c>
      <c r="AI13" s="320" t="e">
        <f ca="1">(IF(SUM($J13:AH13)&gt;($H13-1),0,IF($G13=AI$28,1,IF(SUM($J13:AH13)=0,0,1))))*AI$30</f>
        <v>#N/A</v>
      </c>
      <c r="AJ13" s="320" t="e">
        <f ca="1">(IF(SUM($J13:AI13)&gt;($H13-1),0,IF($G13=AJ$28,1,IF(SUM($J13:AI13)=0,0,1))))*AJ$30</f>
        <v>#N/A</v>
      </c>
      <c r="AK13" s="320" t="e">
        <f ca="1">(IF(SUM($J13:AJ13)&gt;($H13-1),0,IF($G13=AK$28,1,IF(SUM($J13:AJ13)=0,0,1))))*AK$30</f>
        <v>#N/A</v>
      </c>
      <c r="AL13" s="320" t="e">
        <f ca="1">(IF(SUM($J13:AK13)&gt;($H13-1),0,IF($G13=AL$28,1,IF(SUM($J13:AK13)=0,0,1))))*AL$30</f>
        <v>#N/A</v>
      </c>
      <c r="AM13" s="320" t="e">
        <f ca="1">(IF(SUM($J13:AL13)&gt;($H13-1),0,IF($G13=AM$28,1,IF(SUM($J13:AL13)=0,0,1))))*AM$30</f>
        <v>#N/A</v>
      </c>
      <c r="AN13" s="320" t="e">
        <f ca="1">(IF(SUM($J13:AM13)&gt;($H13-1),0,IF($G13=AN$28,1,IF(SUM($J13:AM13)=0,0,1))))*AN$30</f>
        <v>#N/A</v>
      </c>
      <c r="AO13" s="320" t="e">
        <f ca="1">(IF(SUM($J13:AN13)&gt;($H13-1),0,IF($G13=AO$28,1,IF(SUM($J13:AN13)=0,0,1))))*AO$30</f>
        <v>#N/A</v>
      </c>
      <c r="AP13" s="320" t="e">
        <f ca="1">(IF(SUM($J13:AO13)&gt;($H13-1),0,IF($G13=AP$28,1,IF(SUM($J13:AO13)=0,0,1))))*AP$30</f>
        <v>#N/A</v>
      </c>
      <c r="AQ13" s="320" t="e">
        <f ca="1">(IF(SUM($J13:AP13)&gt;($H13-1),0,IF($G13=AQ$28,1,IF(SUM($J13:AP13)=0,0,1))))*AQ$30</f>
        <v>#N/A</v>
      </c>
      <c r="AR13" s="320" t="e">
        <f ca="1">(IF(SUM($J13:AQ13)&gt;($H13-1),0,IF($G13=AR$28,1,IF(SUM($J13:AQ13)=0,0,1))))*AR$30</f>
        <v>#N/A</v>
      </c>
      <c r="AS13" s="321" t="e">
        <f ca="1">(IF(SUM($J13:AR13)&gt;($H13-1),0,IF($G13=AS$28,1,IF(SUM($J13:AR13)=0,0,1))))*AS$30</f>
        <v>#N/A</v>
      </c>
      <c r="AT13" s="319" t="e">
        <f ca="1">(IF(SUM($J13:AS13)&gt;($H13-1),0,IF($G13=AT$28,1,IF(SUM($J13:AS13)=0,0,1))))*AT$30</f>
        <v>#N/A</v>
      </c>
      <c r="AU13" s="320" t="e">
        <f ca="1">(IF(SUM($J13:AT13)&gt;($H13-1),0,IF($G13=AU$28,1,IF(SUM($J13:AT13)=0,0,1))))*AU$30</f>
        <v>#N/A</v>
      </c>
      <c r="AV13" s="320" t="e">
        <f ca="1">(IF(SUM($J13:AU13)&gt;($H13-1),0,IF($G13=AV$28,1,IF(SUM($J13:AU13)=0,0,1))))*AV$30</f>
        <v>#N/A</v>
      </c>
      <c r="AW13" s="320" t="e">
        <f ca="1">(IF(SUM($J13:AV13)&gt;($H13-1),0,IF($G13=AW$28,1,IF(SUM($J13:AV13)=0,0,1))))*AW$30</f>
        <v>#N/A</v>
      </c>
      <c r="AX13" s="320" t="e">
        <f ca="1">(IF(SUM($J13:AW13)&gt;($H13-1),0,IF($G13=AX$28,1,IF(SUM($J13:AW13)=0,0,1))))*AX$30</f>
        <v>#N/A</v>
      </c>
      <c r="AY13" s="320" t="e">
        <f ca="1">(IF(SUM($J13:AX13)&gt;($H13-1),0,IF($G13=AY$28,1,IF(SUM($J13:AX13)=0,0,1))))*AY$30</f>
        <v>#N/A</v>
      </c>
      <c r="AZ13" s="320" t="e">
        <f ca="1">(IF(SUM($J13:AY13)&gt;($H13-1),0,IF($G13=AZ$28,1,IF(SUM($J13:AY13)=0,0,1))))*AZ$30</f>
        <v>#N/A</v>
      </c>
      <c r="BA13" s="320" t="e">
        <f ca="1">(IF(SUM($J13:AZ13)&gt;($H13-1),0,IF($G13=BA$28,1,IF(SUM($J13:AZ13)=0,0,1))))*BA$30</f>
        <v>#N/A</v>
      </c>
      <c r="BB13" s="320" t="e">
        <f ca="1">(IF(SUM($J13:BA13)&gt;($H13-1),0,IF($G13=BB$28,1,IF(SUM($J13:BA13)=0,0,1))))*BB$30</f>
        <v>#N/A</v>
      </c>
      <c r="BC13" s="320" t="e">
        <f ca="1">(IF(SUM($J13:BB13)&gt;($H13-1),0,IF($G13=BC$28,1,IF(SUM($J13:BB13)=0,0,1))))*BC$30</f>
        <v>#N/A</v>
      </c>
      <c r="BD13" s="320" t="e">
        <f ca="1">(IF(SUM($J13:BC13)&gt;($H13-1),0,IF($G13=BD$28,1,IF(SUM($J13:BC13)=0,0,1))))*BD$30</f>
        <v>#N/A</v>
      </c>
      <c r="BE13" s="321" t="e">
        <f ca="1">(IF(SUM($J13:BD13)&gt;($H13-1),0,IF($G13=BE$28,1,IF(SUM($J13:BD13)=0,0,1))))*BE$30</f>
        <v>#N/A</v>
      </c>
      <c r="BF13" s="322"/>
      <c r="BG13" s="323"/>
      <c r="BH13" s="323"/>
      <c r="BI13" s="323"/>
      <c r="BJ13" s="323"/>
      <c r="BK13" s="323"/>
      <c r="BL13" s="323"/>
      <c r="BM13" s="323"/>
      <c r="BN13" s="323"/>
      <c r="BO13" s="323"/>
      <c r="BP13" s="323"/>
      <c r="BQ13" s="323"/>
      <c r="BR13" s="323"/>
      <c r="BS13" s="323"/>
      <c r="BT13" s="323"/>
      <c r="BU13" s="323"/>
      <c r="BV13" s="323"/>
      <c r="BW13" s="323"/>
      <c r="BX13" s="323"/>
      <c r="BY13" s="323"/>
      <c r="BZ13" s="324">
        <f t="shared" si="3"/>
        <v>0</v>
      </c>
      <c r="CA13" s="325" t="str">
        <f t="shared" si="5"/>
        <v/>
      </c>
      <c r="CG13" s="169">
        <f t="shared" si="4"/>
        <v>0</v>
      </c>
    </row>
    <row r="14" spans="1:93">
      <c r="A14" s="169" t="s">
        <v>59</v>
      </c>
      <c r="B14" s="314" t="s">
        <v>624</v>
      </c>
      <c r="C14" s="315"/>
      <c r="D14" s="315"/>
      <c r="E14" s="315"/>
      <c r="F14" s="316"/>
      <c r="G14" s="326"/>
      <c r="H14" s="315"/>
      <c r="I14" s="318">
        <f t="shared" si="0"/>
        <v>0</v>
      </c>
      <c r="J14" s="319">
        <f t="shared" ca="1" si="1"/>
        <v>0</v>
      </c>
      <c r="K14" s="320">
        <f t="shared" ca="1" si="2"/>
        <v>0</v>
      </c>
      <c r="L14" s="320" t="e">
        <f ca="1">(IF(SUM($J14:K14)&gt;($H14-1),0,IF($G14=L$28,1,IF(SUM($J14:K14)=0,0,1))))*L$30</f>
        <v>#N/A</v>
      </c>
      <c r="M14" s="320" t="e">
        <f ca="1">(IF(SUM($J14:L14)&gt;($H14-1),0,IF($G14=M$28,1,IF(SUM($J14:L14)=0,0,1))))*M$30</f>
        <v>#N/A</v>
      </c>
      <c r="N14" s="320" t="e">
        <f ca="1">(IF(SUM($J14:M14)&gt;($H14-1),0,IF($G14=N$28,1,IF(SUM($J14:M14)=0,0,1))))*N$30</f>
        <v>#N/A</v>
      </c>
      <c r="O14" s="320" t="e">
        <f ca="1">(IF(SUM($J14:N14)&gt;($H14-1),0,IF($G14=O$28,1,IF(SUM($J14:N14)=0,0,1))))*O$30</f>
        <v>#N/A</v>
      </c>
      <c r="P14" s="320" t="e">
        <f ca="1">(IF(SUM($J14:O14)&gt;($H14-1),0,IF($G14=P$28,1,IF(SUM($J14:O14)=0,0,1))))*P$30</f>
        <v>#N/A</v>
      </c>
      <c r="Q14" s="320" t="e">
        <f ca="1">(IF(SUM($J14:P14)&gt;($H14-1),0,IF($G14=Q$28,1,IF(SUM($J14:P14)=0,0,1))))*Q$30</f>
        <v>#N/A</v>
      </c>
      <c r="R14" s="320" t="e">
        <f ca="1">(IF(SUM($J14:Q14)&gt;($H14-1),0,IF($G14=R$28,1,IF(SUM($J14:Q14)=0,0,1))))*R$30</f>
        <v>#N/A</v>
      </c>
      <c r="S14" s="320" t="e">
        <f ca="1">(IF(SUM($J14:R14)&gt;($H14-1),0,IF($G14=S$28,1,IF(SUM($J14:R14)=0,0,1))))*S$30</f>
        <v>#N/A</v>
      </c>
      <c r="T14" s="320" t="e">
        <f ca="1">(IF(SUM($J14:S14)&gt;($H14-1),0,IF($G14=T$28,1,IF(SUM($J14:S14)=0,0,1))))*T$30</f>
        <v>#N/A</v>
      </c>
      <c r="U14" s="321" t="e">
        <f ca="1">(IF(SUM($J14:T14)&gt;($H14-1),0,IF($G14=U$28,1,IF(SUM($J14:T14)=0,0,1))))*U$30</f>
        <v>#N/A</v>
      </c>
      <c r="V14" s="319" t="e">
        <f ca="1">(IF(SUM($J14:U14)&gt;($H14-1),0,IF($G14=V$28,1,IF(SUM($J14:U14)=0,0,1))))*V$30</f>
        <v>#N/A</v>
      </c>
      <c r="W14" s="320" t="e">
        <f ca="1">(IF(SUM($J14:V14)&gt;($H14-1),0,IF($G14=W$28,1,IF(SUM($J14:V14)=0,0,1))))*W$30</f>
        <v>#N/A</v>
      </c>
      <c r="X14" s="320" t="e">
        <f ca="1">(IF(SUM($J14:W14)&gt;($H14-1),0,IF($G14=X$28,1,IF(SUM($J14:W14)=0,0,1))))*X$30</f>
        <v>#N/A</v>
      </c>
      <c r="Y14" s="320" t="e">
        <f ca="1">(IF(SUM($J14:X14)&gt;($H14-1),0,IF($G14=Y$28,1,IF(SUM($J14:X14)=0,0,1))))*Y$30</f>
        <v>#N/A</v>
      </c>
      <c r="Z14" s="320" t="e">
        <f ca="1">(IF(SUM($J14:Y14)&gt;($H14-1),0,IF($G14=Z$28,1,IF(SUM($J14:Y14)=0,0,1))))*Z$30</f>
        <v>#N/A</v>
      </c>
      <c r="AA14" s="320" t="e">
        <f ca="1">(IF(SUM($J14:Z14)&gt;($H14-1),0,IF($G14=AA$28,1,IF(SUM($J14:Z14)=0,0,1))))*AA$30</f>
        <v>#N/A</v>
      </c>
      <c r="AB14" s="320" t="e">
        <f ca="1">(IF(SUM($J14:AA14)&gt;($H14-1),0,IF($G14=AB$28,1,IF(SUM($J14:AA14)=0,0,1))))*AB$30</f>
        <v>#N/A</v>
      </c>
      <c r="AC14" s="320" t="e">
        <f ca="1">(IF(SUM($J14:AB14)&gt;($H14-1),0,IF($G14=AC$28,1,IF(SUM($J14:AB14)=0,0,1))))*AC$30</f>
        <v>#N/A</v>
      </c>
      <c r="AD14" s="320" t="e">
        <f ca="1">(IF(SUM($J14:AC14)&gt;($H14-1),0,IF($G14=AD$28,1,IF(SUM($J14:AC14)=0,0,1))))*AD$30</f>
        <v>#N/A</v>
      </c>
      <c r="AE14" s="320" t="e">
        <f ca="1">(IF(SUM($J14:AD14)&gt;($H14-1),0,IF($G14=AE$28,1,IF(SUM($J14:AD14)=0,0,1))))*AE$30</f>
        <v>#N/A</v>
      </c>
      <c r="AF14" s="320" t="e">
        <f ca="1">(IF(SUM($J14:AE14)&gt;($H14-1),0,IF($G14=AF$28,1,IF(SUM($J14:AE14)=0,0,1))))*AF$30</f>
        <v>#N/A</v>
      </c>
      <c r="AG14" s="321" t="e">
        <f ca="1">(IF(SUM($J14:AF14)&gt;($H14-1),0,IF($G14=AG$28,1,IF(SUM($J14:AF14)=0,0,1))))*AG$30</f>
        <v>#N/A</v>
      </c>
      <c r="AH14" s="319" t="e">
        <f ca="1">(IF(SUM($J14:AG14)&gt;($H14-1),0,IF($G14=AH$28,1,IF(SUM($J14:AG14)=0,0,1))))*AH$30</f>
        <v>#N/A</v>
      </c>
      <c r="AI14" s="320" t="e">
        <f ca="1">(IF(SUM($J14:AH14)&gt;($H14-1),0,IF($G14=AI$28,1,IF(SUM($J14:AH14)=0,0,1))))*AI$30</f>
        <v>#N/A</v>
      </c>
      <c r="AJ14" s="320" t="e">
        <f ca="1">(IF(SUM($J14:AI14)&gt;($H14-1),0,IF($G14=AJ$28,1,IF(SUM($J14:AI14)=0,0,1))))*AJ$30</f>
        <v>#N/A</v>
      </c>
      <c r="AK14" s="320" t="e">
        <f ca="1">(IF(SUM($J14:AJ14)&gt;($H14-1),0,IF($G14=AK$28,1,IF(SUM($J14:AJ14)=0,0,1))))*AK$30</f>
        <v>#N/A</v>
      </c>
      <c r="AL14" s="320" t="e">
        <f ca="1">(IF(SUM($J14:AK14)&gt;($H14-1),0,IF($G14=AL$28,1,IF(SUM($J14:AK14)=0,0,1))))*AL$30</f>
        <v>#N/A</v>
      </c>
      <c r="AM14" s="320" t="e">
        <f ca="1">(IF(SUM($J14:AL14)&gt;($H14-1),0,IF($G14=AM$28,1,IF(SUM($J14:AL14)=0,0,1))))*AM$30</f>
        <v>#N/A</v>
      </c>
      <c r="AN14" s="320" t="e">
        <f ca="1">(IF(SUM($J14:AM14)&gt;($H14-1),0,IF($G14=AN$28,1,IF(SUM($J14:AM14)=0,0,1))))*AN$30</f>
        <v>#N/A</v>
      </c>
      <c r="AO14" s="320" t="e">
        <f ca="1">(IF(SUM($J14:AN14)&gt;($H14-1),0,IF($G14=AO$28,1,IF(SUM($J14:AN14)=0,0,1))))*AO$30</f>
        <v>#N/A</v>
      </c>
      <c r="AP14" s="320" t="e">
        <f ca="1">(IF(SUM($J14:AO14)&gt;($H14-1),0,IF($G14=AP$28,1,IF(SUM($J14:AO14)=0,0,1))))*AP$30</f>
        <v>#N/A</v>
      </c>
      <c r="AQ14" s="320" t="e">
        <f ca="1">(IF(SUM($J14:AP14)&gt;($H14-1),0,IF($G14=AQ$28,1,IF(SUM($J14:AP14)=0,0,1))))*AQ$30</f>
        <v>#N/A</v>
      </c>
      <c r="AR14" s="320" t="e">
        <f ca="1">(IF(SUM($J14:AQ14)&gt;($H14-1),0,IF($G14=AR$28,1,IF(SUM($J14:AQ14)=0,0,1))))*AR$30</f>
        <v>#N/A</v>
      </c>
      <c r="AS14" s="321" t="e">
        <f ca="1">(IF(SUM($J14:AR14)&gt;($H14-1),0,IF($G14=AS$28,1,IF(SUM($J14:AR14)=0,0,1))))*AS$30</f>
        <v>#N/A</v>
      </c>
      <c r="AT14" s="319" t="e">
        <f ca="1">(IF(SUM($J14:AS14)&gt;($H14-1),0,IF($G14=AT$28,1,IF(SUM($J14:AS14)=0,0,1))))*AT$30</f>
        <v>#N/A</v>
      </c>
      <c r="AU14" s="320" t="e">
        <f ca="1">(IF(SUM($J14:AT14)&gt;($H14-1),0,IF($G14=AU$28,1,IF(SUM($J14:AT14)=0,0,1))))*AU$30</f>
        <v>#N/A</v>
      </c>
      <c r="AV14" s="320" t="e">
        <f ca="1">(IF(SUM($J14:AU14)&gt;($H14-1),0,IF($G14=AV$28,1,IF(SUM($J14:AU14)=0,0,1))))*AV$30</f>
        <v>#N/A</v>
      </c>
      <c r="AW14" s="320" t="e">
        <f ca="1">(IF(SUM($J14:AV14)&gt;($H14-1),0,IF($G14=AW$28,1,IF(SUM($J14:AV14)=0,0,1))))*AW$30</f>
        <v>#N/A</v>
      </c>
      <c r="AX14" s="320" t="e">
        <f ca="1">(IF(SUM($J14:AW14)&gt;($H14-1),0,IF($G14=AX$28,1,IF(SUM($J14:AW14)=0,0,1))))*AX$30</f>
        <v>#N/A</v>
      </c>
      <c r="AY14" s="320" t="e">
        <f ca="1">(IF(SUM($J14:AX14)&gt;($H14-1),0,IF($G14=AY$28,1,IF(SUM($J14:AX14)=0,0,1))))*AY$30</f>
        <v>#N/A</v>
      </c>
      <c r="AZ14" s="320" t="e">
        <f ca="1">(IF(SUM($J14:AY14)&gt;($H14-1),0,IF($G14=AZ$28,1,IF(SUM($J14:AY14)=0,0,1))))*AZ$30</f>
        <v>#N/A</v>
      </c>
      <c r="BA14" s="320" t="e">
        <f ca="1">(IF(SUM($J14:AZ14)&gt;($H14-1),0,IF($G14=BA$28,1,IF(SUM($J14:AZ14)=0,0,1))))*BA$30</f>
        <v>#N/A</v>
      </c>
      <c r="BB14" s="320" t="e">
        <f ca="1">(IF(SUM($J14:BA14)&gt;($H14-1),0,IF($G14=BB$28,1,IF(SUM($J14:BA14)=0,0,1))))*BB$30</f>
        <v>#N/A</v>
      </c>
      <c r="BC14" s="320" t="e">
        <f ca="1">(IF(SUM($J14:BB14)&gt;($H14-1),0,IF($G14=BC$28,1,IF(SUM($J14:BB14)=0,0,1))))*BC$30</f>
        <v>#N/A</v>
      </c>
      <c r="BD14" s="320" t="e">
        <f ca="1">(IF(SUM($J14:BC14)&gt;($H14-1),0,IF($G14=BD$28,1,IF(SUM($J14:BC14)=0,0,1))))*BD$30</f>
        <v>#N/A</v>
      </c>
      <c r="BE14" s="321" t="e">
        <f ca="1">(IF(SUM($J14:BD14)&gt;($H14-1),0,IF($G14=BE$28,1,IF(SUM($J14:BD14)=0,0,1))))*BE$30</f>
        <v>#N/A</v>
      </c>
      <c r="BF14" s="322"/>
      <c r="BG14" s="323"/>
      <c r="BH14" s="323"/>
      <c r="BI14" s="323"/>
      <c r="BJ14" s="323"/>
      <c r="BK14" s="323"/>
      <c r="BL14" s="323"/>
      <c r="BM14" s="323"/>
      <c r="BN14" s="323"/>
      <c r="BO14" s="323"/>
      <c r="BP14" s="323"/>
      <c r="BQ14" s="323"/>
      <c r="BR14" s="323"/>
      <c r="BS14" s="323"/>
      <c r="BT14" s="323"/>
      <c r="BU14" s="323"/>
      <c r="BV14" s="323"/>
      <c r="BW14" s="323"/>
      <c r="BX14" s="323"/>
      <c r="BY14" s="323"/>
      <c r="BZ14" s="324">
        <f t="shared" si="3"/>
        <v>0</v>
      </c>
      <c r="CA14" s="325" t="str">
        <f t="shared" si="5"/>
        <v/>
      </c>
      <c r="CG14" s="169">
        <f t="shared" si="4"/>
        <v>0</v>
      </c>
    </row>
    <row r="15" spans="1:93">
      <c r="A15" s="169" t="s">
        <v>60</v>
      </c>
      <c r="B15" s="314" t="s">
        <v>625</v>
      </c>
      <c r="C15" s="315"/>
      <c r="D15" s="315"/>
      <c r="E15" s="315"/>
      <c r="F15" s="316"/>
      <c r="G15" s="326"/>
      <c r="H15" s="315"/>
      <c r="I15" s="318">
        <f t="shared" si="0"/>
        <v>0</v>
      </c>
      <c r="J15" s="319">
        <f t="shared" ca="1" si="1"/>
        <v>0</v>
      </c>
      <c r="K15" s="320">
        <f t="shared" ca="1" si="2"/>
        <v>0</v>
      </c>
      <c r="L15" s="320" t="e">
        <f ca="1">(IF(SUM($J15:K15)&gt;($H15-1),0,IF($G15=L$28,1,IF(SUM($J15:K15)=0,0,1))))*L$30</f>
        <v>#N/A</v>
      </c>
      <c r="M15" s="320" t="e">
        <f ca="1">(IF(SUM($J15:L15)&gt;($H15-1),0,IF($G15=M$28,1,IF(SUM($J15:L15)=0,0,1))))*M$30</f>
        <v>#N/A</v>
      </c>
      <c r="N15" s="320" t="e">
        <f ca="1">(IF(SUM($J15:M15)&gt;($H15-1),0,IF($G15=N$28,1,IF(SUM($J15:M15)=0,0,1))))*N$30</f>
        <v>#N/A</v>
      </c>
      <c r="O15" s="320" t="e">
        <f ca="1">(IF(SUM($J15:N15)&gt;($H15-1),0,IF($G15=O$28,1,IF(SUM($J15:N15)=0,0,1))))*O$30</f>
        <v>#N/A</v>
      </c>
      <c r="P15" s="320" t="e">
        <f ca="1">(IF(SUM($J15:O15)&gt;($H15-1),0,IF($G15=P$28,1,IF(SUM($J15:O15)=0,0,1))))*P$30</f>
        <v>#N/A</v>
      </c>
      <c r="Q15" s="320" t="e">
        <f ca="1">(IF(SUM($J15:P15)&gt;($H15-1),0,IF($G15=Q$28,1,IF(SUM($J15:P15)=0,0,1))))*Q$30</f>
        <v>#N/A</v>
      </c>
      <c r="R15" s="320" t="e">
        <f ca="1">(IF(SUM($J15:Q15)&gt;($H15-1),0,IF($G15=R$28,1,IF(SUM($J15:Q15)=0,0,1))))*R$30</f>
        <v>#N/A</v>
      </c>
      <c r="S15" s="320" t="e">
        <f ca="1">(IF(SUM($J15:R15)&gt;($H15-1),0,IF($G15=S$28,1,IF(SUM($J15:R15)=0,0,1))))*S$30</f>
        <v>#N/A</v>
      </c>
      <c r="T15" s="320" t="e">
        <f ca="1">(IF(SUM($J15:S15)&gt;($H15-1),0,IF($G15=T$28,1,IF(SUM($J15:S15)=0,0,1))))*T$30</f>
        <v>#N/A</v>
      </c>
      <c r="U15" s="321" t="e">
        <f ca="1">(IF(SUM($J15:T15)&gt;($H15-1),0,IF($G15=U$28,1,IF(SUM($J15:T15)=0,0,1))))*U$30</f>
        <v>#N/A</v>
      </c>
      <c r="V15" s="319" t="e">
        <f ca="1">(IF(SUM($J15:U15)&gt;($H15-1),0,IF($G15=V$28,1,IF(SUM($J15:U15)=0,0,1))))*V$30</f>
        <v>#N/A</v>
      </c>
      <c r="W15" s="320" t="e">
        <f ca="1">(IF(SUM($J15:V15)&gt;($H15-1),0,IF($G15=W$28,1,IF(SUM($J15:V15)=0,0,1))))*W$30</f>
        <v>#N/A</v>
      </c>
      <c r="X15" s="320" t="e">
        <f ca="1">(IF(SUM($J15:W15)&gt;($H15-1),0,IF($G15=X$28,1,IF(SUM($J15:W15)=0,0,1))))*X$30</f>
        <v>#N/A</v>
      </c>
      <c r="Y15" s="320" t="e">
        <f ca="1">(IF(SUM($J15:X15)&gt;($H15-1),0,IF($G15=Y$28,1,IF(SUM($J15:X15)=0,0,1))))*Y$30</f>
        <v>#N/A</v>
      </c>
      <c r="Z15" s="320" t="e">
        <f ca="1">(IF(SUM($J15:Y15)&gt;($H15-1),0,IF($G15=Z$28,1,IF(SUM($J15:Y15)=0,0,1))))*Z$30</f>
        <v>#N/A</v>
      </c>
      <c r="AA15" s="320" t="e">
        <f ca="1">(IF(SUM($J15:Z15)&gt;($H15-1),0,IF($G15=AA$28,1,IF(SUM($J15:Z15)=0,0,1))))*AA$30</f>
        <v>#N/A</v>
      </c>
      <c r="AB15" s="320" t="e">
        <f ca="1">(IF(SUM($J15:AA15)&gt;($H15-1),0,IF($G15=AB$28,1,IF(SUM($J15:AA15)=0,0,1))))*AB$30</f>
        <v>#N/A</v>
      </c>
      <c r="AC15" s="320" t="e">
        <f ca="1">(IF(SUM($J15:AB15)&gt;($H15-1),0,IF($G15=AC$28,1,IF(SUM($J15:AB15)=0,0,1))))*AC$30</f>
        <v>#N/A</v>
      </c>
      <c r="AD15" s="320" t="e">
        <f ca="1">(IF(SUM($J15:AC15)&gt;($H15-1),0,IF($G15=AD$28,1,IF(SUM($J15:AC15)=0,0,1))))*AD$30</f>
        <v>#N/A</v>
      </c>
      <c r="AE15" s="320" t="e">
        <f ca="1">(IF(SUM($J15:AD15)&gt;($H15-1),0,IF($G15=AE$28,1,IF(SUM($J15:AD15)=0,0,1))))*AE$30</f>
        <v>#N/A</v>
      </c>
      <c r="AF15" s="320" t="e">
        <f ca="1">(IF(SUM($J15:AE15)&gt;($H15-1),0,IF($G15=AF$28,1,IF(SUM($J15:AE15)=0,0,1))))*AF$30</f>
        <v>#N/A</v>
      </c>
      <c r="AG15" s="321" t="e">
        <f ca="1">(IF(SUM($J15:AF15)&gt;($H15-1),0,IF($G15=AG$28,1,IF(SUM($J15:AF15)=0,0,1))))*AG$30</f>
        <v>#N/A</v>
      </c>
      <c r="AH15" s="319" t="e">
        <f ca="1">(IF(SUM($J15:AG15)&gt;($H15-1),0,IF($G15=AH$28,1,IF(SUM($J15:AG15)=0,0,1))))*AH$30</f>
        <v>#N/A</v>
      </c>
      <c r="AI15" s="320" t="e">
        <f ca="1">(IF(SUM($J15:AH15)&gt;($H15-1),0,IF($G15=AI$28,1,IF(SUM($J15:AH15)=0,0,1))))*AI$30</f>
        <v>#N/A</v>
      </c>
      <c r="AJ15" s="320" t="e">
        <f ca="1">(IF(SUM($J15:AI15)&gt;($H15-1),0,IF($G15=AJ$28,1,IF(SUM($J15:AI15)=0,0,1))))*AJ$30</f>
        <v>#N/A</v>
      </c>
      <c r="AK15" s="320" t="e">
        <f ca="1">(IF(SUM($J15:AJ15)&gt;($H15-1),0,IF($G15=AK$28,1,IF(SUM($J15:AJ15)=0,0,1))))*AK$30</f>
        <v>#N/A</v>
      </c>
      <c r="AL15" s="320" t="e">
        <f ca="1">(IF(SUM($J15:AK15)&gt;($H15-1),0,IF($G15=AL$28,1,IF(SUM($J15:AK15)=0,0,1))))*AL$30</f>
        <v>#N/A</v>
      </c>
      <c r="AM15" s="320" t="e">
        <f ca="1">(IF(SUM($J15:AL15)&gt;($H15-1),0,IF($G15=AM$28,1,IF(SUM($J15:AL15)=0,0,1))))*AM$30</f>
        <v>#N/A</v>
      </c>
      <c r="AN15" s="320" t="e">
        <f ca="1">(IF(SUM($J15:AM15)&gt;($H15-1),0,IF($G15=AN$28,1,IF(SUM($J15:AM15)=0,0,1))))*AN$30</f>
        <v>#N/A</v>
      </c>
      <c r="AO15" s="320" t="e">
        <f ca="1">(IF(SUM($J15:AN15)&gt;($H15-1),0,IF($G15=AO$28,1,IF(SUM($J15:AN15)=0,0,1))))*AO$30</f>
        <v>#N/A</v>
      </c>
      <c r="AP15" s="320" t="e">
        <f ca="1">(IF(SUM($J15:AO15)&gt;($H15-1),0,IF($G15=AP$28,1,IF(SUM($J15:AO15)=0,0,1))))*AP$30</f>
        <v>#N/A</v>
      </c>
      <c r="AQ15" s="320" t="e">
        <f ca="1">(IF(SUM($J15:AP15)&gt;($H15-1),0,IF($G15=AQ$28,1,IF(SUM($J15:AP15)=0,0,1))))*AQ$30</f>
        <v>#N/A</v>
      </c>
      <c r="AR15" s="320" t="e">
        <f ca="1">(IF(SUM($J15:AQ15)&gt;($H15-1),0,IF($G15=AR$28,1,IF(SUM($J15:AQ15)=0,0,1))))*AR$30</f>
        <v>#N/A</v>
      </c>
      <c r="AS15" s="321" t="e">
        <f ca="1">(IF(SUM($J15:AR15)&gt;($H15-1),0,IF($G15=AS$28,1,IF(SUM($J15:AR15)=0,0,1))))*AS$30</f>
        <v>#N/A</v>
      </c>
      <c r="AT15" s="319" t="e">
        <f ca="1">(IF(SUM($J15:AS15)&gt;($H15-1),0,IF($G15=AT$28,1,IF(SUM($J15:AS15)=0,0,1))))*AT$30</f>
        <v>#N/A</v>
      </c>
      <c r="AU15" s="320" t="e">
        <f ca="1">(IF(SUM($J15:AT15)&gt;($H15-1),0,IF($G15=AU$28,1,IF(SUM($J15:AT15)=0,0,1))))*AU$30</f>
        <v>#N/A</v>
      </c>
      <c r="AV15" s="320" t="e">
        <f ca="1">(IF(SUM($J15:AU15)&gt;($H15-1),0,IF($G15=AV$28,1,IF(SUM($J15:AU15)=0,0,1))))*AV$30</f>
        <v>#N/A</v>
      </c>
      <c r="AW15" s="320" t="e">
        <f ca="1">(IF(SUM($J15:AV15)&gt;($H15-1),0,IF($G15=AW$28,1,IF(SUM($J15:AV15)=0,0,1))))*AW$30</f>
        <v>#N/A</v>
      </c>
      <c r="AX15" s="320" t="e">
        <f ca="1">(IF(SUM($J15:AW15)&gt;($H15-1),0,IF($G15=AX$28,1,IF(SUM($J15:AW15)=0,0,1))))*AX$30</f>
        <v>#N/A</v>
      </c>
      <c r="AY15" s="320" t="e">
        <f ca="1">(IF(SUM($J15:AX15)&gt;($H15-1),0,IF($G15=AY$28,1,IF(SUM($J15:AX15)=0,0,1))))*AY$30</f>
        <v>#N/A</v>
      </c>
      <c r="AZ15" s="320" t="e">
        <f ca="1">(IF(SUM($J15:AY15)&gt;($H15-1),0,IF($G15=AZ$28,1,IF(SUM($J15:AY15)=0,0,1))))*AZ$30</f>
        <v>#N/A</v>
      </c>
      <c r="BA15" s="320" t="e">
        <f ca="1">(IF(SUM($J15:AZ15)&gt;($H15-1),0,IF($G15=BA$28,1,IF(SUM($J15:AZ15)=0,0,1))))*BA$30</f>
        <v>#N/A</v>
      </c>
      <c r="BB15" s="320" t="e">
        <f ca="1">(IF(SUM($J15:BA15)&gt;($H15-1),0,IF($G15=BB$28,1,IF(SUM($J15:BA15)=0,0,1))))*BB$30</f>
        <v>#N/A</v>
      </c>
      <c r="BC15" s="320" t="e">
        <f ca="1">(IF(SUM($J15:BB15)&gt;($H15-1),0,IF($G15=BC$28,1,IF(SUM($J15:BB15)=0,0,1))))*BC$30</f>
        <v>#N/A</v>
      </c>
      <c r="BD15" s="320" t="e">
        <f ca="1">(IF(SUM($J15:BC15)&gt;($H15-1),0,IF($G15=BD$28,1,IF(SUM($J15:BC15)=0,0,1))))*BD$30</f>
        <v>#N/A</v>
      </c>
      <c r="BE15" s="321" t="e">
        <f ca="1">(IF(SUM($J15:BD15)&gt;($H15-1),0,IF($G15=BE$28,1,IF(SUM($J15:BD15)=0,0,1))))*BE$30</f>
        <v>#N/A</v>
      </c>
      <c r="BF15" s="322"/>
      <c r="BG15" s="323"/>
      <c r="BH15" s="323"/>
      <c r="BI15" s="323"/>
      <c r="BJ15" s="323"/>
      <c r="BK15" s="323"/>
      <c r="BL15" s="323"/>
      <c r="BM15" s="323"/>
      <c r="BN15" s="323"/>
      <c r="BO15" s="323"/>
      <c r="BP15" s="323"/>
      <c r="BQ15" s="323"/>
      <c r="BR15" s="323"/>
      <c r="BS15" s="323"/>
      <c r="BT15" s="323"/>
      <c r="BU15" s="323"/>
      <c r="BV15" s="323"/>
      <c r="BW15" s="323"/>
      <c r="BX15" s="323"/>
      <c r="BY15" s="323"/>
      <c r="BZ15" s="324">
        <f t="shared" si="3"/>
        <v>0</v>
      </c>
      <c r="CA15" s="325" t="str">
        <f t="shared" si="5"/>
        <v/>
      </c>
      <c r="CG15" s="169">
        <f t="shared" si="4"/>
        <v>0</v>
      </c>
    </row>
    <row r="16" spans="1:93">
      <c r="A16" s="169" t="s">
        <v>61</v>
      </c>
      <c r="B16" s="314" t="s">
        <v>626</v>
      </c>
      <c r="C16" s="315"/>
      <c r="D16" s="315"/>
      <c r="E16" s="315"/>
      <c r="F16" s="316"/>
      <c r="G16" s="326"/>
      <c r="H16" s="315"/>
      <c r="I16" s="318">
        <f t="shared" si="0"/>
        <v>0</v>
      </c>
      <c r="J16" s="319">
        <f t="shared" ca="1" si="1"/>
        <v>0</v>
      </c>
      <c r="K16" s="320">
        <f t="shared" ca="1" si="2"/>
        <v>0</v>
      </c>
      <c r="L16" s="320" t="e">
        <f ca="1">(IF(SUM($J16:K16)&gt;($H16-1),0,IF($G16=L$28,1,IF(SUM($J16:K16)=0,0,1))))*L$30</f>
        <v>#N/A</v>
      </c>
      <c r="M16" s="320" t="e">
        <f ca="1">(IF(SUM($J16:L16)&gt;($H16-1),0,IF($G16=M$28,1,IF(SUM($J16:L16)=0,0,1))))*M$30</f>
        <v>#N/A</v>
      </c>
      <c r="N16" s="320" t="e">
        <f ca="1">(IF(SUM($J16:M16)&gt;($H16-1),0,IF($G16=N$28,1,IF(SUM($J16:M16)=0,0,1))))*N$30</f>
        <v>#N/A</v>
      </c>
      <c r="O16" s="320" t="e">
        <f ca="1">(IF(SUM($J16:N16)&gt;($H16-1),0,IF($G16=O$28,1,IF(SUM($J16:N16)=0,0,1))))*O$30</f>
        <v>#N/A</v>
      </c>
      <c r="P16" s="320" t="e">
        <f ca="1">(IF(SUM($J16:O16)&gt;($H16-1),0,IF($G16=P$28,1,IF(SUM($J16:O16)=0,0,1))))*P$30</f>
        <v>#N/A</v>
      </c>
      <c r="Q16" s="320" t="e">
        <f ca="1">(IF(SUM($J16:P16)&gt;($H16-1),0,IF($G16=Q$28,1,IF(SUM($J16:P16)=0,0,1))))*Q$30</f>
        <v>#N/A</v>
      </c>
      <c r="R16" s="320" t="e">
        <f ca="1">(IF(SUM($J16:Q16)&gt;($H16-1),0,IF($G16=R$28,1,IF(SUM($J16:Q16)=0,0,1))))*R$30</f>
        <v>#N/A</v>
      </c>
      <c r="S16" s="320" t="e">
        <f ca="1">(IF(SUM($J16:R16)&gt;($H16-1),0,IF($G16=S$28,1,IF(SUM($J16:R16)=0,0,1))))*S$30</f>
        <v>#N/A</v>
      </c>
      <c r="T16" s="320" t="e">
        <f ca="1">(IF(SUM($J16:S16)&gt;($H16-1),0,IF($G16=T$28,1,IF(SUM($J16:S16)=0,0,1))))*T$30</f>
        <v>#N/A</v>
      </c>
      <c r="U16" s="321" t="e">
        <f ca="1">(IF(SUM($J16:T16)&gt;($H16-1),0,IF($G16=U$28,1,IF(SUM($J16:T16)=0,0,1))))*U$30</f>
        <v>#N/A</v>
      </c>
      <c r="V16" s="319" t="e">
        <f ca="1">(IF(SUM($J16:U16)&gt;($H16-1),0,IF($G16=V$28,1,IF(SUM($J16:U16)=0,0,1))))*V$30</f>
        <v>#N/A</v>
      </c>
      <c r="W16" s="320" t="e">
        <f ca="1">(IF(SUM($J16:V16)&gt;($H16-1),0,IF($G16=W$28,1,IF(SUM($J16:V16)=0,0,1))))*W$30</f>
        <v>#N/A</v>
      </c>
      <c r="X16" s="320" t="e">
        <f ca="1">(IF(SUM($J16:W16)&gt;($H16-1),0,IF($G16=X$28,1,IF(SUM($J16:W16)=0,0,1))))*X$30</f>
        <v>#N/A</v>
      </c>
      <c r="Y16" s="320" t="e">
        <f ca="1">(IF(SUM($J16:X16)&gt;($H16-1),0,IF($G16=Y$28,1,IF(SUM($J16:X16)=0,0,1))))*Y$30</f>
        <v>#N/A</v>
      </c>
      <c r="Z16" s="320" t="e">
        <f ca="1">(IF(SUM($J16:Y16)&gt;($H16-1),0,IF($G16=Z$28,1,IF(SUM($J16:Y16)=0,0,1))))*Z$30</f>
        <v>#N/A</v>
      </c>
      <c r="AA16" s="320" t="e">
        <f ca="1">(IF(SUM($J16:Z16)&gt;($H16-1),0,IF($G16=AA$28,1,IF(SUM($J16:Z16)=0,0,1))))*AA$30</f>
        <v>#N/A</v>
      </c>
      <c r="AB16" s="320" t="e">
        <f ca="1">(IF(SUM($J16:AA16)&gt;($H16-1),0,IF($G16=AB$28,1,IF(SUM($J16:AA16)=0,0,1))))*AB$30</f>
        <v>#N/A</v>
      </c>
      <c r="AC16" s="320" t="e">
        <f ca="1">(IF(SUM($J16:AB16)&gt;($H16-1),0,IF($G16=AC$28,1,IF(SUM($J16:AB16)=0,0,1))))*AC$30</f>
        <v>#N/A</v>
      </c>
      <c r="AD16" s="320" t="e">
        <f ca="1">(IF(SUM($J16:AC16)&gt;($H16-1),0,IF($G16=AD$28,1,IF(SUM($J16:AC16)=0,0,1))))*AD$30</f>
        <v>#N/A</v>
      </c>
      <c r="AE16" s="320" t="e">
        <f ca="1">(IF(SUM($J16:AD16)&gt;($H16-1),0,IF($G16=AE$28,1,IF(SUM($J16:AD16)=0,0,1))))*AE$30</f>
        <v>#N/A</v>
      </c>
      <c r="AF16" s="320" t="e">
        <f ca="1">(IF(SUM($J16:AE16)&gt;($H16-1),0,IF($G16=AF$28,1,IF(SUM($J16:AE16)=0,0,1))))*AF$30</f>
        <v>#N/A</v>
      </c>
      <c r="AG16" s="321" t="e">
        <f ca="1">(IF(SUM($J16:AF16)&gt;($H16-1),0,IF($G16=AG$28,1,IF(SUM($J16:AF16)=0,0,1))))*AG$30</f>
        <v>#N/A</v>
      </c>
      <c r="AH16" s="319" t="e">
        <f ca="1">(IF(SUM($J16:AG16)&gt;($H16-1),0,IF($G16=AH$28,1,IF(SUM($J16:AG16)=0,0,1))))*AH$30</f>
        <v>#N/A</v>
      </c>
      <c r="AI16" s="320" t="e">
        <f ca="1">(IF(SUM($J16:AH16)&gt;($H16-1),0,IF($G16=AI$28,1,IF(SUM($J16:AH16)=0,0,1))))*AI$30</f>
        <v>#N/A</v>
      </c>
      <c r="AJ16" s="320" t="e">
        <f ca="1">(IF(SUM($J16:AI16)&gt;($H16-1),0,IF($G16=AJ$28,1,IF(SUM($J16:AI16)=0,0,1))))*AJ$30</f>
        <v>#N/A</v>
      </c>
      <c r="AK16" s="320" t="e">
        <f ca="1">(IF(SUM($J16:AJ16)&gt;($H16-1),0,IF($G16=AK$28,1,IF(SUM($J16:AJ16)=0,0,1))))*AK$30</f>
        <v>#N/A</v>
      </c>
      <c r="AL16" s="320" t="e">
        <f ca="1">(IF(SUM($J16:AK16)&gt;($H16-1),0,IF($G16=AL$28,1,IF(SUM($J16:AK16)=0,0,1))))*AL$30</f>
        <v>#N/A</v>
      </c>
      <c r="AM16" s="320" t="e">
        <f ca="1">(IF(SUM($J16:AL16)&gt;($H16-1),0,IF($G16=AM$28,1,IF(SUM($J16:AL16)=0,0,1))))*AM$30</f>
        <v>#N/A</v>
      </c>
      <c r="AN16" s="320" t="e">
        <f ca="1">(IF(SUM($J16:AM16)&gt;($H16-1),0,IF($G16=AN$28,1,IF(SUM($J16:AM16)=0,0,1))))*AN$30</f>
        <v>#N/A</v>
      </c>
      <c r="AO16" s="320" t="e">
        <f ca="1">(IF(SUM($J16:AN16)&gt;($H16-1),0,IF($G16=AO$28,1,IF(SUM($J16:AN16)=0,0,1))))*AO$30</f>
        <v>#N/A</v>
      </c>
      <c r="AP16" s="320" t="e">
        <f ca="1">(IF(SUM($J16:AO16)&gt;($H16-1),0,IF($G16=AP$28,1,IF(SUM($J16:AO16)=0,0,1))))*AP$30</f>
        <v>#N/A</v>
      </c>
      <c r="AQ16" s="320" t="e">
        <f ca="1">(IF(SUM($J16:AP16)&gt;($H16-1),0,IF($G16=AQ$28,1,IF(SUM($J16:AP16)=0,0,1))))*AQ$30</f>
        <v>#N/A</v>
      </c>
      <c r="AR16" s="320" t="e">
        <f ca="1">(IF(SUM($J16:AQ16)&gt;($H16-1),0,IF($G16=AR$28,1,IF(SUM($J16:AQ16)=0,0,1))))*AR$30</f>
        <v>#N/A</v>
      </c>
      <c r="AS16" s="321" t="e">
        <f ca="1">(IF(SUM($J16:AR16)&gt;($H16-1),0,IF($G16=AS$28,1,IF(SUM($J16:AR16)=0,0,1))))*AS$30</f>
        <v>#N/A</v>
      </c>
      <c r="AT16" s="319" t="e">
        <f ca="1">(IF(SUM($J16:AS16)&gt;($H16-1),0,IF($G16=AT$28,1,IF(SUM($J16:AS16)=0,0,1))))*AT$30</f>
        <v>#N/A</v>
      </c>
      <c r="AU16" s="320" t="e">
        <f ca="1">(IF(SUM($J16:AT16)&gt;($H16-1),0,IF($G16=AU$28,1,IF(SUM($J16:AT16)=0,0,1))))*AU$30</f>
        <v>#N/A</v>
      </c>
      <c r="AV16" s="320" t="e">
        <f ca="1">(IF(SUM($J16:AU16)&gt;($H16-1),0,IF($G16=AV$28,1,IF(SUM($J16:AU16)=0,0,1))))*AV$30</f>
        <v>#N/A</v>
      </c>
      <c r="AW16" s="320" t="e">
        <f ca="1">(IF(SUM($J16:AV16)&gt;($H16-1),0,IF($G16=AW$28,1,IF(SUM($J16:AV16)=0,0,1))))*AW$30</f>
        <v>#N/A</v>
      </c>
      <c r="AX16" s="320" t="e">
        <f ca="1">(IF(SUM($J16:AW16)&gt;($H16-1),0,IF($G16=AX$28,1,IF(SUM($J16:AW16)=0,0,1))))*AX$30</f>
        <v>#N/A</v>
      </c>
      <c r="AY16" s="320" t="e">
        <f ca="1">(IF(SUM($J16:AX16)&gt;($H16-1),0,IF($G16=AY$28,1,IF(SUM($J16:AX16)=0,0,1))))*AY$30</f>
        <v>#N/A</v>
      </c>
      <c r="AZ16" s="320" t="e">
        <f ca="1">(IF(SUM($J16:AY16)&gt;($H16-1),0,IF($G16=AZ$28,1,IF(SUM($J16:AY16)=0,0,1))))*AZ$30</f>
        <v>#N/A</v>
      </c>
      <c r="BA16" s="320" t="e">
        <f ca="1">(IF(SUM($J16:AZ16)&gt;($H16-1),0,IF($G16=BA$28,1,IF(SUM($J16:AZ16)=0,0,1))))*BA$30</f>
        <v>#N/A</v>
      </c>
      <c r="BB16" s="320" t="e">
        <f ca="1">(IF(SUM($J16:BA16)&gt;($H16-1),0,IF($G16=BB$28,1,IF(SUM($J16:BA16)=0,0,1))))*BB$30</f>
        <v>#N/A</v>
      </c>
      <c r="BC16" s="320" t="e">
        <f ca="1">(IF(SUM($J16:BB16)&gt;($H16-1),0,IF($G16=BC$28,1,IF(SUM($J16:BB16)=0,0,1))))*BC$30</f>
        <v>#N/A</v>
      </c>
      <c r="BD16" s="320" t="e">
        <f ca="1">(IF(SUM($J16:BC16)&gt;($H16-1),0,IF($G16=BD$28,1,IF(SUM($J16:BC16)=0,0,1))))*BD$30</f>
        <v>#N/A</v>
      </c>
      <c r="BE16" s="321" t="e">
        <f ca="1">(IF(SUM($J16:BD16)&gt;($H16-1),0,IF($G16=BE$28,1,IF(SUM($J16:BD16)=0,0,1))))*BE$30</f>
        <v>#N/A</v>
      </c>
      <c r="BF16" s="322"/>
      <c r="BG16" s="323"/>
      <c r="BH16" s="323"/>
      <c r="BI16" s="323"/>
      <c r="BJ16" s="323"/>
      <c r="BK16" s="323"/>
      <c r="BL16" s="323"/>
      <c r="BM16" s="323"/>
      <c r="BN16" s="323"/>
      <c r="BO16" s="323"/>
      <c r="BP16" s="323"/>
      <c r="BQ16" s="323"/>
      <c r="BR16" s="323"/>
      <c r="BS16" s="323"/>
      <c r="BT16" s="323"/>
      <c r="BU16" s="323"/>
      <c r="BV16" s="323"/>
      <c r="BW16" s="323"/>
      <c r="BX16" s="323"/>
      <c r="BY16" s="323"/>
      <c r="BZ16" s="324">
        <f t="shared" si="3"/>
        <v>0</v>
      </c>
      <c r="CA16" s="325" t="str">
        <f t="shared" si="5"/>
        <v/>
      </c>
      <c r="CG16" s="169">
        <f t="shared" si="4"/>
        <v>0</v>
      </c>
    </row>
    <row r="17" spans="1:110">
      <c r="A17" s="169" t="s">
        <v>62</v>
      </c>
      <c r="B17" s="314" t="s">
        <v>627</v>
      </c>
      <c r="C17" s="315"/>
      <c r="D17" s="315"/>
      <c r="E17" s="315"/>
      <c r="F17" s="316"/>
      <c r="G17" s="326"/>
      <c r="H17" s="315"/>
      <c r="I17" s="318">
        <f t="shared" si="0"/>
        <v>0</v>
      </c>
      <c r="J17" s="319">
        <f t="shared" ca="1" si="1"/>
        <v>0</v>
      </c>
      <c r="K17" s="320">
        <f t="shared" ca="1" si="2"/>
        <v>0</v>
      </c>
      <c r="L17" s="320" t="e">
        <f ca="1">(IF(SUM($J17:K17)&gt;($H17-1),0,IF($G17=L$28,1,IF(SUM($J17:K17)=0,0,1))))*L$30</f>
        <v>#N/A</v>
      </c>
      <c r="M17" s="320" t="e">
        <f ca="1">(IF(SUM($J17:L17)&gt;($H17-1),0,IF($G17=M$28,1,IF(SUM($J17:L17)=0,0,1))))*M$30</f>
        <v>#N/A</v>
      </c>
      <c r="N17" s="320" t="e">
        <f ca="1">(IF(SUM($J17:M17)&gt;($H17-1),0,IF($G17=N$28,1,IF(SUM($J17:M17)=0,0,1))))*N$30</f>
        <v>#N/A</v>
      </c>
      <c r="O17" s="320" t="e">
        <f ca="1">(IF(SUM($J17:N17)&gt;($H17-1),0,IF($G17=O$28,1,IF(SUM($J17:N17)=0,0,1))))*O$30</f>
        <v>#N/A</v>
      </c>
      <c r="P17" s="320" t="e">
        <f ca="1">(IF(SUM($J17:O17)&gt;($H17-1),0,IF($G17=P$28,1,IF(SUM($J17:O17)=0,0,1))))*P$30</f>
        <v>#N/A</v>
      </c>
      <c r="Q17" s="320" t="e">
        <f ca="1">(IF(SUM($J17:P17)&gt;($H17-1),0,IF($G17=Q$28,1,IF(SUM($J17:P17)=0,0,1))))*Q$30</f>
        <v>#N/A</v>
      </c>
      <c r="R17" s="320" t="e">
        <f ca="1">(IF(SUM($J17:Q17)&gt;($H17-1),0,IF($G17=R$28,1,IF(SUM($J17:Q17)=0,0,1))))*R$30</f>
        <v>#N/A</v>
      </c>
      <c r="S17" s="320" t="e">
        <f ca="1">(IF(SUM($J17:R17)&gt;($H17-1),0,IF($G17=S$28,1,IF(SUM($J17:R17)=0,0,1))))*S$30</f>
        <v>#N/A</v>
      </c>
      <c r="T17" s="320" t="e">
        <f ca="1">(IF(SUM($J17:S17)&gt;($H17-1),0,IF($G17=T$28,1,IF(SUM($J17:S17)=0,0,1))))*T$30</f>
        <v>#N/A</v>
      </c>
      <c r="U17" s="321" t="e">
        <f ca="1">(IF(SUM($J17:T17)&gt;($H17-1),0,IF($G17=U$28,1,IF(SUM($J17:T17)=0,0,1))))*U$30</f>
        <v>#N/A</v>
      </c>
      <c r="V17" s="319" t="e">
        <f ca="1">(IF(SUM($J17:U17)&gt;($H17-1),0,IF($G17=V$28,1,IF(SUM($J17:U17)=0,0,1))))*V$30</f>
        <v>#N/A</v>
      </c>
      <c r="W17" s="320" t="e">
        <f ca="1">(IF(SUM($J17:V17)&gt;($H17-1),0,IF($G17=W$28,1,IF(SUM($J17:V17)=0,0,1))))*W$30</f>
        <v>#N/A</v>
      </c>
      <c r="X17" s="320" t="e">
        <f ca="1">(IF(SUM($J17:W17)&gt;($H17-1),0,IF($G17=X$28,1,IF(SUM($J17:W17)=0,0,1))))*X$30</f>
        <v>#N/A</v>
      </c>
      <c r="Y17" s="320" t="e">
        <f ca="1">(IF(SUM($J17:X17)&gt;($H17-1),0,IF($G17=Y$28,1,IF(SUM($J17:X17)=0,0,1))))*Y$30</f>
        <v>#N/A</v>
      </c>
      <c r="Z17" s="320" t="e">
        <f ca="1">(IF(SUM($J17:Y17)&gt;($H17-1),0,IF($G17=Z$28,1,IF(SUM($J17:Y17)=0,0,1))))*Z$30</f>
        <v>#N/A</v>
      </c>
      <c r="AA17" s="320" t="e">
        <f ca="1">(IF(SUM($J17:Z17)&gt;($H17-1),0,IF($G17=AA$28,1,IF(SUM($J17:Z17)=0,0,1))))*AA$30</f>
        <v>#N/A</v>
      </c>
      <c r="AB17" s="320" t="e">
        <f ca="1">(IF(SUM($J17:AA17)&gt;($H17-1),0,IF($G17=AB$28,1,IF(SUM($J17:AA17)=0,0,1))))*AB$30</f>
        <v>#N/A</v>
      </c>
      <c r="AC17" s="320" t="e">
        <f ca="1">(IF(SUM($J17:AB17)&gt;($H17-1),0,IF($G17=AC$28,1,IF(SUM($J17:AB17)=0,0,1))))*AC$30</f>
        <v>#N/A</v>
      </c>
      <c r="AD17" s="320" t="e">
        <f ca="1">(IF(SUM($J17:AC17)&gt;($H17-1),0,IF($G17=AD$28,1,IF(SUM($J17:AC17)=0,0,1))))*AD$30</f>
        <v>#N/A</v>
      </c>
      <c r="AE17" s="320" t="e">
        <f ca="1">(IF(SUM($J17:AD17)&gt;($H17-1),0,IF($G17=AE$28,1,IF(SUM($J17:AD17)=0,0,1))))*AE$30</f>
        <v>#N/A</v>
      </c>
      <c r="AF17" s="320" t="e">
        <f ca="1">(IF(SUM($J17:AE17)&gt;($H17-1),0,IF($G17=AF$28,1,IF(SUM($J17:AE17)=0,0,1))))*AF$30</f>
        <v>#N/A</v>
      </c>
      <c r="AG17" s="321" t="e">
        <f ca="1">(IF(SUM($J17:AF17)&gt;($H17-1),0,IF($G17=AG$28,1,IF(SUM($J17:AF17)=0,0,1))))*AG$30</f>
        <v>#N/A</v>
      </c>
      <c r="AH17" s="319" t="e">
        <f ca="1">(IF(SUM($J17:AG17)&gt;($H17-1),0,IF($G17=AH$28,1,IF(SUM($J17:AG17)=0,0,1))))*AH$30</f>
        <v>#N/A</v>
      </c>
      <c r="AI17" s="320" t="e">
        <f ca="1">(IF(SUM($J17:AH17)&gt;($H17-1),0,IF($G17=AI$28,1,IF(SUM($J17:AH17)=0,0,1))))*AI$30</f>
        <v>#N/A</v>
      </c>
      <c r="AJ17" s="320" t="e">
        <f ca="1">(IF(SUM($J17:AI17)&gt;($H17-1),0,IF($G17=AJ$28,1,IF(SUM($J17:AI17)=0,0,1))))*AJ$30</f>
        <v>#N/A</v>
      </c>
      <c r="AK17" s="320" t="e">
        <f ca="1">(IF(SUM($J17:AJ17)&gt;($H17-1),0,IF($G17=AK$28,1,IF(SUM($J17:AJ17)=0,0,1))))*AK$30</f>
        <v>#N/A</v>
      </c>
      <c r="AL17" s="320" t="e">
        <f ca="1">(IF(SUM($J17:AK17)&gt;($H17-1),0,IF($G17=AL$28,1,IF(SUM($J17:AK17)=0,0,1))))*AL$30</f>
        <v>#N/A</v>
      </c>
      <c r="AM17" s="320" t="e">
        <f ca="1">(IF(SUM($J17:AL17)&gt;($H17-1),0,IF($G17=AM$28,1,IF(SUM($J17:AL17)=0,0,1))))*AM$30</f>
        <v>#N/A</v>
      </c>
      <c r="AN17" s="320" t="e">
        <f ca="1">(IF(SUM($J17:AM17)&gt;($H17-1),0,IF($G17=AN$28,1,IF(SUM($J17:AM17)=0,0,1))))*AN$30</f>
        <v>#N/A</v>
      </c>
      <c r="AO17" s="320" t="e">
        <f ca="1">(IF(SUM($J17:AN17)&gt;($H17-1),0,IF($G17=AO$28,1,IF(SUM($J17:AN17)=0,0,1))))*AO$30</f>
        <v>#N/A</v>
      </c>
      <c r="AP17" s="320" t="e">
        <f ca="1">(IF(SUM($J17:AO17)&gt;($H17-1),0,IF($G17=AP$28,1,IF(SUM($J17:AO17)=0,0,1))))*AP$30</f>
        <v>#N/A</v>
      </c>
      <c r="AQ17" s="320" t="e">
        <f ca="1">(IF(SUM($J17:AP17)&gt;($H17-1),0,IF($G17=AQ$28,1,IF(SUM($J17:AP17)=0,0,1))))*AQ$30</f>
        <v>#N/A</v>
      </c>
      <c r="AR17" s="320" t="e">
        <f ca="1">(IF(SUM($J17:AQ17)&gt;($H17-1),0,IF($G17=AR$28,1,IF(SUM($J17:AQ17)=0,0,1))))*AR$30</f>
        <v>#N/A</v>
      </c>
      <c r="AS17" s="321" t="e">
        <f ca="1">(IF(SUM($J17:AR17)&gt;($H17-1),0,IF($G17=AS$28,1,IF(SUM($J17:AR17)=0,0,1))))*AS$30</f>
        <v>#N/A</v>
      </c>
      <c r="AT17" s="319" t="e">
        <f ca="1">(IF(SUM($J17:AS17)&gt;($H17-1),0,IF($G17=AT$28,1,IF(SUM($J17:AS17)=0,0,1))))*AT$30</f>
        <v>#N/A</v>
      </c>
      <c r="AU17" s="320" t="e">
        <f ca="1">(IF(SUM($J17:AT17)&gt;($H17-1),0,IF($G17=AU$28,1,IF(SUM($J17:AT17)=0,0,1))))*AU$30</f>
        <v>#N/A</v>
      </c>
      <c r="AV17" s="320" t="e">
        <f ca="1">(IF(SUM($J17:AU17)&gt;($H17-1),0,IF($G17=AV$28,1,IF(SUM($J17:AU17)=0,0,1))))*AV$30</f>
        <v>#N/A</v>
      </c>
      <c r="AW17" s="320" t="e">
        <f ca="1">(IF(SUM($J17:AV17)&gt;($H17-1),0,IF($G17=AW$28,1,IF(SUM($J17:AV17)=0,0,1))))*AW$30</f>
        <v>#N/A</v>
      </c>
      <c r="AX17" s="320" t="e">
        <f ca="1">(IF(SUM($J17:AW17)&gt;($H17-1),0,IF($G17=AX$28,1,IF(SUM($J17:AW17)=0,0,1))))*AX$30</f>
        <v>#N/A</v>
      </c>
      <c r="AY17" s="320" t="e">
        <f ca="1">(IF(SUM($J17:AX17)&gt;($H17-1),0,IF($G17=AY$28,1,IF(SUM($J17:AX17)=0,0,1))))*AY$30</f>
        <v>#N/A</v>
      </c>
      <c r="AZ17" s="320" t="e">
        <f ca="1">(IF(SUM($J17:AY17)&gt;($H17-1),0,IF($G17=AZ$28,1,IF(SUM($J17:AY17)=0,0,1))))*AZ$30</f>
        <v>#N/A</v>
      </c>
      <c r="BA17" s="320" t="e">
        <f ca="1">(IF(SUM($J17:AZ17)&gt;($H17-1),0,IF($G17=BA$28,1,IF(SUM($J17:AZ17)=0,0,1))))*BA$30</f>
        <v>#N/A</v>
      </c>
      <c r="BB17" s="320" t="e">
        <f ca="1">(IF(SUM($J17:BA17)&gt;($H17-1),0,IF($G17=BB$28,1,IF(SUM($J17:BA17)=0,0,1))))*BB$30</f>
        <v>#N/A</v>
      </c>
      <c r="BC17" s="320" t="e">
        <f ca="1">(IF(SUM($J17:BB17)&gt;($H17-1),0,IF($G17=BC$28,1,IF(SUM($J17:BB17)=0,0,1))))*BC$30</f>
        <v>#N/A</v>
      </c>
      <c r="BD17" s="320" t="e">
        <f ca="1">(IF(SUM($J17:BC17)&gt;($H17-1),0,IF($G17=BD$28,1,IF(SUM($J17:BC17)=0,0,1))))*BD$30</f>
        <v>#N/A</v>
      </c>
      <c r="BE17" s="321" t="e">
        <f ca="1">(IF(SUM($J17:BD17)&gt;($H17-1),0,IF($G17=BE$28,1,IF(SUM($J17:BD17)=0,0,1))))*BE$30</f>
        <v>#N/A</v>
      </c>
      <c r="BF17" s="322"/>
      <c r="BG17" s="323"/>
      <c r="BH17" s="323"/>
      <c r="BI17" s="323"/>
      <c r="BJ17" s="323"/>
      <c r="BK17" s="323"/>
      <c r="BL17" s="323"/>
      <c r="BM17" s="323"/>
      <c r="BN17" s="323"/>
      <c r="BO17" s="323"/>
      <c r="BP17" s="323"/>
      <c r="BQ17" s="323"/>
      <c r="BR17" s="323"/>
      <c r="BS17" s="323"/>
      <c r="BT17" s="323"/>
      <c r="BU17" s="323"/>
      <c r="BV17" s="323"/>
      <c r="BW17" s="323"/>
      <c r="BX17" s="323"/>
      <c r="BY17" s="323"/>
      <c r="BZ17" s="324">
        <f t="shared" si="3"/>
        <v>0</v>
      </c>
      <c r="CA17" s="325" t="str">
        <f t="shared" si="5"/>
        <v/>
      </c>
      <c r="CG17" s="169">
        <f t="shared" si="4"/>
        <v>0</v>
      </c>
    </row>
    <row r="18" spans="1:110">
      <c r="A18" s="169" t="s">
        <v>63</v>
      </c>
      <c r="B18" s="314" t="s">
        <v>628</v>
      </c>
      <c r="C18" s="315"/>
      <c r="D18" s="315"/>
      <c r="E18" s="315"/>
      <c r="F18" s="316"/>
      <c r="G18" s="326"/>
      <c r="H18" s="315"/>
      <c r="I18" s="318">
        <f t="shared" si="0"/>
        <v>0</v>
      </c>
      <c r="J18" s="319">
        <f t="shared" ca="1" si="1"/>
        <v>0</v>
      </c>
      <c r="K18" s="320">
        <f t="shared" ca="1" si="2"/>
        <v>0</v>
      </c>
      <c r="L18" s="320" t="e">
        <f ca="1">(IF(SUM($J18:K18)&gt;($H18-1),0,IF($G18=L$28,1,IF(SUM($J18:K18)=0,0,1))))*L$30</f>
        <v>#N/A</v>
      </c>
      <c r="M18" s="320" t="e">
        <f ca="1">(IF(SUM($J18:L18)&gt;($H18-1),0,IF($G18=M$28,1,IF(SUM($J18:L18)=0,0,1))))*M$30</f>
        <v>#N/A</v>
      </c>
      <c r="N18" s="320" t="e">
        <f ca="1">(IF(SUM($J18:M18)&gt;($H18-1),0,IF($G18=N$28,1,IF(SUM($J18:M18)=0,0,1))))*N$30</f>
        <v>#N/A</v>
      </c>
      <c r="O18" s="320" t="e">
        <f ca="1">(IF(SUM($J18:N18)&gt;($H18-1),0,IF($G18=O$28,1,IF(SUM($J18:N18)=0,0,1))))*O$30</f>
        <v>#N/A</v>
      </c>
      <c r="P18" s="320" t="e">
        <f ca="1">(IF(SUM($J18:O18)&gt;($H18-1),0,IF($G18=P$28,1,IF(SUM($J18:O18)=0,0,1))))*P$30</f>
        <v>#N/A</v>
      </c>
      <c r="Q18" s="320" t="e">
        <f ca="1">(IF(SUM($J18:P18)&gt;($H18-1),0,IF($G18=Q$28,1,IF(SUM($J18:P18)=0,0,1))))*Q$30</f>
        <v>#N/A</v>
      </c>
      <c r="R18" s="320" t="e">
        <f ca="1">(IF(SUM($J18:Q18)&gt;($H18-1),0,IF($G18=R$28,1,IF(SUM($J18:Q18)=0,0,1))))*R$30</f>
        <v>#N/A</v>
      </c>
      <c r="S18" s="320" t="e">
        <f ca="1">(IF(SUM($J18:R18)&gt;($H18-1),0,IF($G18=S$28,1,IF(SUM($J18:R18)=0,0,1))))*S$30</f>
        <v>#N/A</v>
      </c>
      <c r="T18" s="320" t="e">
        <f ca="1">(IF(SUM($J18:S18)&gt;($H18-1),0,IF($G18=T$28,1,IF(SUM($J18:S18)=0,0,1))))*T$30</f>
        <v>#N/A</v>
      </c>
      <c r="U18" s="321" t="e">
        <f ca="1">(IF(SUM($J18:T18)&gt;($H18-1),0,IF($G18=U$28,1,IF(SUM($J18:T18)=0,0,1))))*U$30</f>
        <v>#N/A</v>
      </c>
      <c r="V18" s="319" t="e">
        <f ca="1">(IF(SUM($J18:U18)&gt;($H18-1),0,IF($G18=V$28,1,IF(SUM($J18:U18)=0,0,1))))*V$30</f>
        <v>#N/A</v>
      </c>
      <c r="W18" s="320" t="e">
        <f ca="1">(IF(SUM($J18:V18)&gt;($H18-1),0,IF($G18=W$28,1,IF(SUM($J18:V18)=0,0,1))))*W$30</f>
        <v>#N/A</v>
      </c>
      <c r="X18" s="320" t="e">
        <f ca="1">(IF(SUM($J18:W18)&gt;($H18-1),0,IF($G18=X$28,1,IF(SUM($J18:W18)=0,0,1))))*X$30</f>
        <v>#N/A</v>
      </c>
      <c r="Y18" s="320" t="e">
        <f ca="1">(IF(SUM($J18:X18)&gt;($H18-1),0,IF($G18=Y$28,1,IF(SUM($J18:X18)=0,0,1))))*Y$30</f>
        <v>#N/A</v>
      </c>
      <c r="Z18" s="320" t="e">
        <f ca="1">(IF(SUM($J18:Y18)&gt;($H18-1),0,IF($G18=Z$28,1,IF(SUM($J18:Y18)=0,0,1))))*Z$30</f>
        <v>#N/A</v>
      </c>
      <c r="AA18" s="320" t="e">
        <f ca="1">(IF(SUM($J18:Z18)&gt;($H18-1),0,IF($G18=AA$28,1,IF(SUM($J18:Z18)=0,0,1))))*AA$30</f>
        <v>#N/A</v>
      </c>
      <c r="AB18" s="320" t="e">
        <f ca="1">(IF(SUM($J18:AA18)&gt;($H18-1),0,IF($G18=AB$28,1,IF(SUM($J18:AA18)=0,0,1))))*AB$30</f>
        <v>#N/A</v>
      </c>
      <c r="AC18" s="320" t="e">
        <f ca="1">(IF(SUM($J18:AB18)&gt;($H18-1),0,IF($G18=AC$28,1,IF(SUM($J18:AB18)=0,0,1))))*AC$30</f>
        <v>#N/A</v>
      </c>
      <c r="AD18" s="320" t="e">
        <f ca="1">(IF(SUM($J18:AC18)&gt;($H18-1),0,IF($G18=AD$28,1,IF(SUM($J18:AC18)=0,0,1))))*AD$30</f>
        <v>#N/A</v>
      </c>
      <c r="AE18" s="320" t="e">
        <f ca="1">(IF(SUM($J18:AD18)&gt;($H18-1),0,IF($G18=AE$28,1,IF(SUM($J18:AD18)=0,0,1))))*AE$30</f>
        <v>#N/A</v>
      </c>
      <c r="AF18" s="320" t="e">
        <f ca="1">(IF(SUM($J18:AE18)&gt;($H18-1),0,IF($G18=AF$28,1,IF(SUM($J18:AE18)=0,0,1))))*AF$30</f>
        <v>#N/A</v>
      </c>
      <c r="AG18" s="321" t="e">
        <f ca="1">(IF(SUM($J18:AF18)&gt;($H18-1),0,IF($G18=AG$28,1,IF(SUM($J18:AF18)=0,0,1))))*AG$30</f>
        <v>#N/A</v>
      </c>
      <c r="AH18" s="319" t="e">
        <f ca="1">(IF(SUM($J18:AG18)&gt;($H18-1),0,IF($G18=AH$28,1,IF(SUM($J18:AG18)=0,0,1))))*AH$30</f>
        <v>#N/A</v>
      </c>
      <c r="AI18" s="320" t="e">
        <f ca="1">(IF(SUM($J18:AH18)&gt;($H18-1),0,IF($G18=AI$28,1,IF(SUM($J18:AH18)=0,0,1))))*AI$30</f>
        <v>#N/A</v>
      </c>
      <c r="AJ18" s="320" t="e">
        <f ca="1">(IF(SUM($J18:AI18)&gt;($H18-1),0,IF($G18=AJ$28,1,IF(SUM($J18:AI18)=0,0,1))))*AJ$30</f>
        <v>#N/A</v>
      </c>
      <c r="AK18" s="320" t="e">
        <f ca="1">(IF(SUM($J18:AJ18)&gt;($H18-1),0,IF($G18=AK$28,1,IF(SUM($J18:AJ18)=0,0,1))))*AK$30</f>
        <v>#N/A</v>
      </c>
      <c r="AL18" s="320" t="e">
        <f ca="1">(IF(SUM($J18:AK18)&gt;($H18-1),0,IF($G18=AL$28,1,IF(SUM($J18:AK18)=0,0,1))))*AL$30</f>
        <v>#N/A</v>
      </c>
      <c r="AM18" s="320" t="e">
        <f ca="1">(IF(SUM($J18:AL18)&gt;($H18-1),0,IF($G18=AM$28,1,IF(SUM($J18:AL18)=0,0,1))))*AM$30</f>
        <v>#N/A</v>
      </c>
      <c r="AN18" s="320" t="e">
        <f ca="1">(IF(SUM($J18:AM18)&gt;($H18-1),0,IF($G18=AN$28,1,IF(SUM($J18:AM18)=0,0,1))))*AN$30</f>
        <v>#N/A</v>
      </c>
      <c r="AO18" s="320" t="e">
        <f ca="1">(IF(SUM($J18:AN18)&gt;($H18-1),0,IF($G18=AO$28,1,IF(SUM($J18:AN18)=0,0,1))))*AO$30</f>
        <v>#N/A</v>
      </c>
      <c r="AP18" s="320" t="e">
        <f ca="1">(IF(SUM($J18:AO18)&gt;($H18-1),0,IF($G18=AP$28,1,IF(SUM($J18:AO18)=0,0,1))))*AP$30</f>
        <v>#N/A</v>
      </c>
      <c r="AQ18" s="320" t="e">
        <f ca="1">(IF(SUM($J18:AP18)&gt;($H18-1),0,IF($G18=AQ$28,1,IF(SUM($J18:AP18)=0,0,1))))*AQ$30</f>
        <v>#N/A</v>
      </c>
      <c r="AR18" s="320" t="e">
        <f ca="1">(IF(SUM($J18:AQ18)&gt;($H18-1),0,IF($G18=AR$28,1,IF(SUM($J18:AQ18)=0,0,1))))*AR$30</f>
        <v>#N/A</v>
      </c>
      <c r="AS18" s="321" t="e">
        <f ca="1">(IF(SUM($J18:AR18)&gt;($H18-1),0,IF($G18=AS$28,1,IF(SUM($J18:AR18)=0,0,1))))*AS$30</f>
        <v>#N/A</v>
      </c>
      <c r="AT18" s="319" t="e">
        <f ca="1">(IF(SUM($J18:AS18)&gt;($H18-1),0,IF($G18=AT$28,1,IF(SUM($J18:AS18)=0,0,1))))*AT$30</f>
        <v>#N/A</v>
      </c>
      <c r="AU18" s="320" t="e">
        <f ca="1">(IF(SUM($J18:AT18)&gt;($H18-1),0,IF($G18=AU$28,1,IF(SUM($J18:AT18)=0,0,1))))*AU$30</f>
        <v>#N/A</v>
      </c>
      <c r="AV18" s="320" t="e">
        <f ca="1">(IF(SUM($J18:AU18)&gt;($H18-1),0,IF($G18=AV$28,1,IF(SUM($J18:AU18)=0,0,1))))*AV$30</f>
        <v>#N/A</v>
      </c>
      <c r="AW18" s="320" t="e">
        <f ca="1">(IF(SUM($J18:AV18)&gt;($H18-1),0,IF($G18=AW$28,1,IF(SUM($J18:AV18)=0,0,1))))*AW$30</f>
        <v>#N/A</v>
      </c>
      <c r="AX18" s="320" t="e">
        <f ca="1">(IF(SUM($J18:AW18)&gt;($H18-1),0,IF($G18=AX$28,1,IF(SUM($J18:AW18)=0,0,1))))*AX$30</f>
        <v>#N/A</v>
      </c>
      <c r="AY18" s="320" t="e">
        <f ca="1">(IF(SUM($J18:AX18)&gt;($H18-1),0,IF($G18=AY$28,1,IF(SUM($J18:AX18)=0,0,1))))*AY$30</f>
        <v>#N/A</v>
      </c>
      <c r="AZ18" s="320" t="e">
        <f ca="1">(IF(SUM($J18:AY18)&gt;($H18-1),0,IF($G18=AZ$28,1,IF(SUM($J18:AY18)=0,0,1))))*AZ$30</f>
        <v>#N/A</v>
      </c>
      <c r="BA18" s="320" t="e">
        <f ca="1">(IF(SUM($J18:AZ18)&gt;($H18-1),0,IF($G18=BA$28,1,IF(SUM($J18:AZ18)=0,0,1))))*BA$30</f>
        <v>#N/A</v>
      </c>
      <c r="BB18" s="320" t="e">
        <f ca="1">(IF(SUM($J18:BA18)&gt;($H18-1),0,IF($G18=BB$28,1,IF(SUM($J18:BA18)=0,0,1))))*BB$30</f>
        <v>#N/A</v>
      </c>
      <c r="BC18" s="320" t="e">
        <f ca="1">(IF(SUM($J18:BB18)&gt;($H18-1),0,IF($G18=BC$28,1,IF(SUM($J18:BB18)=0,0,1))))*BC$30</f>
        <v>#N/A</v>
      </c>
      <c r="BD18" s="320" t="e">
        <f ca="1">(IF(SUM($J18:BC18)&gt;($H18-1),0,IF($G18=BD$28,1,IF(SUM($J18:BC18)=0,0,1))))*BD$30</f>
        <v>#N/A</v>
      </c>
      <c r="BE18" s="321" t="e">
        <f ca="1">(IF(SUM($J18:BD18)&gt;($H18-1),0,IF($G18=BE$28,1,IF(SUM($J18:BD18)=0,0,1))))*BE$30</f>
        <v>#N/A</v>
      </c>
      <c r="BF18" s="322"/>
      <c r="BG18" s="323"/>
      <c r="BH18" s="323"/>
      <c r="BI18" s="323"/>
      <c r="BJ18" s="323"/>
      <c r="BK18" s="323"/>
      <c r="BL18" s="323"/>
      <c r="BM18" s="323"/>
      <c r="BN18" s="323"/>
      <c r="BO18" s="323"/>
      <c r="BP18" s="323"/>
      <c r="BQ18" s="323"/>
      <c r="BR18" s="323"/>
      <c r="BS18" s="323"/>
      <c r="BT18" s="323"/>
      <c r="BU18" s="323"/>
      <c r="BV18" s="323"/>
      <c r="BW18" s="323"/>
      <c r="BX18" s="323"/>
      <c r="BY18" s="323"/>
      <c r="BZ18" s="324">
        <f t="shared" si="3"/>
        <v>0</v>
      </c>
      <c r="CA18" s="325" t="str">
        <f t="shared" si="5"/>
        <v/>
      </c>
      <c r="CG18" s="169">
        <f t="shared" si="4"/>
        <v>0</v>
      </c>
    </row>
    <row r="19" spans="1:110">
      <c r="A19" s="169" t="s">
        <v>64</v>
      </c>
      <c r="B19" s="314" t="s">
        <v>629</v>
      </c>
      <c r="C19" s="315"/>
      <c r="D19" s="315"/>
      <c r="E19" s="315"/>
      <c r="F19" s="315"/>
      <c r="G19" s="326"/>
      <c r="H19" s="315"/>
      <c r="I19" s="318">
        <f t="shared" si="0"/>
        <v>0</v>
      </c>
      <c r="J19" s="319">
        <f t="shared" ca="1" si="1"/>
        <v>0</v>
      </c>
      <c r="K19" s="320">
        <f t="shared" ref="K19:K26" ca="1" si="6">(IF(G19=K$28,1,IF((G19+H19)&lt;3,0,IF(G19&gt;K$28,0,1))))*K$30</f>
        <v>0</v>
      </c>
      <c r="L19" s="320" t="e">
        <f ca="1">(IF(SUM($J19:K19)&gt;($H19-1),0,IF($G19=L$28,1,IF(SUM($J19:K19)=0,0,1))))*L$30</f>
        <v>#N/A</v>
      </c>
      <c r="M19" s="320" t="e">
        <f ca="1">(IF(SUM($J19:L19)&gt;($H19-1),0,IF($G19=M$28,1,IF(SUM($J19:L19)=0,0,1))))*M$30</f>
        <v>#N/A</v>
      </c>
      <c r="N19" s="320" t="e">
        <f ca="1">(IF(SUM($J19:M19)&gt;($H19-1),0,IF($G19=N$28,1,IF(SUM($J19:M19)=0,0,1))))*N$30</f>
        <v>#N/A</v>
      </c>
      <c r="O19" s="320" t="e">
        <f ca="1">(IF(SUM($J19:N19)&gt;($H19-1),0,IF($G19=O$28,1,IF(SUM($J19:N19)=0,0,1))))*O$30</f>
        <v>#N/A</v>
      </c>
      <c r="P19" s="320" t="e">
        <f ca="1">(IF(SUM($J19:O19)&gt;($H19-1),0,IF($G19=P$28,1,IF(SUM($J19:O19)=0,0,1))))*P$30</f>
        <v>#N/A</v>
      </c>
      <c r="Q19" s="320" t="e">
        <f ca="1">(IF(SUM($J19:P19)&gt;($H19-1),0,IF($G19=Q$28,1,IF(SUM($J19:P19)=0,0,1))))*Q$30</f>
        <v>#N/A</v>
      </c>
      <c r="R19" s="320" t="e">
        <f ca="1">(IF(SUM($J19:Q19)&gt;($H19-1),0,IF($G19=R$28,1,IF(SUM($J19:Q19)=0,0,1))))*R$30</f>
        <v>#N/A</v>
      </c>
      <c r="S19" s="320" t="e">
        <f ca="1">(IF(SUM($J19:R19)&gt;($H19-1),0,IF($G19=S$28,1,IF(SUM($J19:R19)=0,0,1))))*S$30</f>
        <v>#N/A</v>
      </c>
      <c r="T19" s="320" t="e">
        <f ca="1">(IF(SUM($J19:S19)&gt;($H19-1),0,IF($G19=T$28,1,IF(SUM($J19:S19)=0,0,1))))*T$30</f>
        <v>#N/A</v>
      </c>
      <c r="U19" s="321" t="e">
        <f ca="1">(IF(SUM($J19:T19)&gt;($H19-1),0,IF($G19=U$28,1,IF(SUM($J19:T19)=0,0,1))))*U$30</f>
        <v>#N/A</v>
      </c>
      <c r="V19" s="319" t="e">
        <f ca="1">(IF(SUM($J19:U19)&gt;($H19-1),0,IF($G19=V$28,1,IF(SUM($J19:U19)=0,0,1))))*V$30</f>
        <v>#N/A</v>
      </c>
      <c r="W19" s="320" t="e">
        <f ca="1">(IF(SUM($J19:V19)&gt;($H19-1),0,IF($G19=W$28,1,IF(SUM($J19:V19)=0,0,1))))*W$30</f>
        <v>#N/A</v>
      </c>
      <c r="X19" s="320" t="e">
        <f ca="1">(IF(SUM($J19:W19)&gt;($H19-1),0,IF($G19=X$28,1,IF(SUM($J19:W19)=0,0,1))))*X$30</f>
        <v>#N/A</v>
      </c>
      <c r="Y19" s="320" t="e">
        <f ca="1">(IF(SUM($J19:X19)&gt;($H19-1),0,IF($G19=Y$28,1,IF(SUM($J19:X19)=0,0,1))))*Y$30</f>
        <v>#N/A</v>
      </c>
      <c r="Z19" s="320" t="e">
        <f ca="1">(IF(SUM($J19:Y19)&gt;($H19-1),0,IF($G19=Z$28,1,IF(SUM($J19:Y19)=0,0,1))))*Z$30</f>
        <v>#N/A</v>
      </c>
      <c r="AA19" s="320" t="e">
        <f ca="1">(IF(SUM($J19:Z19)&gt;($H19-1),0,IF($G19=AA$28,1,IF(SUM($J19:Z19)=0,0,1))))*AA$30</f>
        <v>#N/A</v>
      </c>
      <c r="AB19" s="320" t="e">
        <f ca="1">(IF(SUM($J19:AA19)&gt;($H19-1),0,IF($G19=AB$28,1,IF(SUM($J19:AA19)=0,0,1))))*AB$30</f>
        <v>#N/A</v>
      </c>
      <c r="AC19" s="320" t="e">
        <f ca="1">(IF(SUM($J19:AB19)&gt;($H19-1),0,IF($G19=AC$28,1,IF(SUM($J19:AB19)=0,0,1))))*AC$30</f>
        <v>#N/A</v>
      </c>
      <c r="AD19" s="320" t="e">
        <f ca="1">(IF(SUM($J19:AC19)&gt;($H19-1),0,IF($G19=AD$28,1,IF(SUM($J19:AC19)=0,0,1))))*AD$30</f>
        <v>#N/A</v>
      </c>
      <c r="AE19" s="320" t="e">
        <f ca="1">(IF(SUM($J19:AD19)&gt;($H19-1),0,IF($G19=AE$28,1,IF(SUM($J19:AD19)=0,0,1))))*AE$30</f>
        <v>#N/A</v>
      </c>
      <c r="AF19" s="320" t="e">
        <f ca="1">(IF(SUM($J19:AE19)&gt;($H19-1),0,IF($G19=AF$28,1,IF(SUM($J19:AE19)=0,0,1))))*AF$30</f>
        <v>#N/A</v>
      </c>
      <c r="AG19" s="321" t="e">
        <f ca="1">(IF(SUM($J19:AF19)&gt;($H19-1),0,IF($G19=AG$28,1,IF(SUM($J19:AF19)=0,0,1))))*AG$30</f>
        <v>#N/A</v>
      </c>
      <c r="AH19" s="319" t="e">
        <f ca="1">(IF(SUM($J19:AG19)&gt;($H19-1),0,IF($G19=AH$28,1,IF(SUM($J19:AG19)=0,0,1))))*AH$30</f>
        <v>#N/A</v>
      </c>
      <c r="AI19" s="320" t="e">
        <f ca="1">(IF(SUM($J19:AH19)&gt;($H19-1),0,IF($G19=AI$28,1,IF(SUM($J19:AH19)=0,0,1))))*AI$30</f>
        <v>#N/A</v>
      </c>
      <c r="AJ19" s="320" t="e">
        <f ca="1">(IF(SUM($J19:AI19)&gt;($H19-1),0,IF($G19=AJ$28,1,IF(SUM($J19:AI19)=0,0,1))))*AJ$30</f>
        <v>#N/A</v>
      </c>
      <c r="AK19" s="320" t="e">
        <f ca="1">(IF(SUM($J19:AJ19)&gt;($H19-1),0,IF($G19=AK$28,1,IF(SUM($J19:AJ19)=0,0,1))))*AK$30</f>
        <v>#N/A</v>
      </c>
      <c r="AL19" s="320" t="e">
        <f ca="1">(IF(SUM($J19:AK19)&gt;($H19-1),0,IF($G19=AL$28,1,IF(SUM($J19:AK19)=0,0,1))))*AL$30</f>
        <v>#N/A</v>
      </c>
      <c r="AM19" s="320" t="e">
        <f ca="1">(IF(SUM($J19:AL19)&gt;($H19-1),0,IF($G19=AM$28,1,IF(SUM($J19:AL19)=0,0,1))))*AM$30</f>
        <v>#N/A</v>
      </c>
      <c r="AN19" s="320" t="e">
        <f ca="1">(IF(SUM($J19:AM19)&gt;($H19-1),0,IF($G19=AN$28,1,IF(SUM($J19:AM19)=0,0,1))))*AN$30</f>
        <v>#N/A</v>
      </c>
      <c r="AO19" s="320" t="e">
        <f ca="1">(IF(SUM($J19:AN19)&gt;($H19-1),0,IF($G19=AO$28,1,IF(SUM($J19:AN19)=0,0,1))))*AO$30</f>
        <v>#N/A</v>
      </c>
      <c r="AP19" s="320" t="e">
        <f ca="1">(IF(SUM($J19:AO19)&gt;($H19-1),0,IF($G19=AP$28,1,IF(SUM($J19:AO19)=0,0,1))))*AP$30</f>
        <v>#N/A</v>
      </c>
      <c r="AQ19" s="320" t="e">
        <f ca="1">(IF(SUM($J19:AP19)&gt;($H19-1),0,IF($G19=AQ$28,1,IF(SUM($J19:AP19)=0,0,1))))*AQ$30</f>
        <v>#N/A</v>
      </c>
      <c r="AR19" s="320" t="e">
        <f ca="1">(IF(SUM($J19:AQ19)&gt;($H19-1),0,IF($G19=AR$28,1,IF(SUM($J19:AQ19)=0,0,1))))*AR$30</f>
        <v>#N/A</v>
      </c>
      <c r="AS19" s="321" t="e">
        <f ca="1">(IF(SUM($J19:AR19)&gt;($H19-1),0,IF($G19=AS$28,1,IF(SUM($J19:AR19)=0,0,1))))*AS$30</f>
        <v>#N/A</v>
      </c>
      <c r="AT19" s="319" t="e">
        <f ca="1">(IF(SUM($J19:AS19)&gt;($H19-1),0,IF($G19=AT$28,1,IF(SUM($J19:AS19)=0,0,1))))*AT$30</f>
        <v>#N/A</v>
      </c>
      <c r="AU19" s="320" t="e">
        <f ca="1">(IF(SUM($J19:AT19)&gt;($H19-1),0,IF($G19=AU$28,1,IF(SUM($J19:AT19)=0,0,1))))*AU$30</f>
        <v>#N/A</v>
      </c>
      <c r="AV19" s="320" t="e">
        <f ca="1">(IF(SUM($J19:AU19)&gt;($H19-1),0,IF($G19=AV$28,1,IF(SUM($J19:AU19)=0,0,1))))*AV$30</f>
        <v>#N/A</v>
      </c>
      <c r="AW19" s="320" t="e">
        <f ca="1">(IF(SUM($J19:AV19)&gt;($H19-1),0,IF($G19=AW$28,1,IF(SUM($J19:AV19)=0,0,1))))*AW$30</f>
        <v>#N/A</v>
      </c>
      <c r="AX19" s="320" t="e">
        <f ca="1">(IF(SUM($J19:AW19)&gt;($H19-1),0,IF($G19=AX$28,1,IF(SUM($J19:AW19)=0,0,1))))*AX$30</f>
        <v>#N/A</v>
      </c>
      <c r="AY19" s="320" t="e">
        <f ca="1">(IF(SUM($J19:AX19)&gt;($H19-1),0,IF($G19=AY$28,1,IF(SUM($J19:AX19)=0,0,1))))*AY$30</f>
        <v>#N/A</v>
      </c>
      <c r="AZ19" s="320" t="e">
        <f ca="1">(IF(SUM($J19:AY19)&gt;($H19-1),0,IF($G19=AZ$28,1,IF(SUM($J19:AY19)=0,0,1))))*AZ$30</f>
        <v>#N/A</v>
      </c>
      <c r="BA19" s="320" t="e">
        <f ca="1">(IF(SUM($J19:AZ19)&gt;($H19-1),0,IF($G19=BA$28,1,IF(SUM($J19:AZ19)=0,0,1))))*BA$30</f>
        <v>#N/A</v>
      </c>
      <c r="BB19" s="320" t="e">
        <f ca="1">(IF(SUM($J19:BA19)&gt;($H19-1),0,IF($G19=BB$28,1,IF(SUM($J19:BA19)=0,0,1))))*BB$30</f>
        <v>#N/A</v>
      </c>
      <c r="BC19" s="320" t="e">
        <f ca="1">(IF(SUM($J19:BB19)&gt;($H19-1),0,IF($G19=BC$28,1,IF(SUM($J19:BB19)=0,0,1))))*BC$30</f>
        <v>#N/A</v>
      </c>
      <c r="BD19" s="320" t="e">
        <f ca="1">(IF(SUM($J19:BC19)&gt;($H19-1),0,IF($G19=BD$28,1,IF(SUM($J19:BC19)=0,0,1))))*BD$30</f>
        <v>#N/A</v>
      </c>
      <c r="BE19" s="321" t="e">
        <f ca="1">(IF(SUM($J19:BD19)&gt;($H19-1),0,IF($G19=BE$28,1,IF(SUM($J19:BD19)=0,0,1))))*BE$30</f>
        <v>#N/A</v>
      </c>
      <c r="BF19" s="322"/>
      <c r="BG19" s="323"/>
      <c r="BH19" s="323"/>
      <c r="BI19" s="323"/>
      <c r="BJ19" s="323"/>
      <c r="BK19" s="323"/>
      <c r="BL19" s="323"/>
      <c r="BM19" s="323"/>
      <c r="BN19" s="323"/>
      <c r="BO19" s="323"/>
      <c r="BP19" s="323"/>
      <c r="BQ19" s="323"/>
      <c r="BR19" s="323"/>
      <c r="BS19" s="323"/>
      <c r="BT19" s="323"/>
      <c r="BU19" s="323"/>
      <c r="BV19" s="323"/>
      <c r="BW19" s="323"/>
      <c r="BX19" s="323"/>
      <c r="BY19" s="323"/>
      <c r="BZ19" s="324">
        <f t="shared" si="3"/>
        <v>0</v>
      </c>
      <c r="CA19" s="325" t="str">
        <f t="shared" si="5"/>
        <v/>
      </c>
      <c r="CG19" s="169">
        <f t="shared" si="4"/>
        <v>0</v>
      </c>
    </row>
    <row r="20" spans="1:110">
      <c r="A20" s="169" t="s">
        <v>65</v>
      </c>
      <c r="B20" s="314" t="s">
        <v>630</v>
      </c>
      <c r="C20" s="315"/>
      <c r="D20" s="315"/>
      <c r="E20" s="315"/>
      <c r="F20" s="315"/>
      <c r="G20" s="326"/>
      <c r="H20" s="315"/>
      <c r="I20" s="318">
        <f t="shared" si="0"/>
        <v>0</v>
      </c>
      <c r="J20" s="319">
        <f t="shared" ca="1" si="1"/>
        <v>0</v>
      </c>
      <c r="K20" s="320">
        <f t="shared" ca="1" si="6"/>
        <v>0</v>
      </c>
      <c r="L20" s="320" t="e">
        <f ca="1">(IF(SUM($J20:K20)&gt;($H20-1),0,IF($G20=L$28,1,IF(SUM($J20:K20)=0,0,1))))*L$30</f>
        <v>#N/A</v>
      </c>
      <c r="M20" s="320" t="e">
        <f ca="1">(IF(SUM($J20:L20)&gt;($H20-1),0,IF($G20=M$28,1,IF(SUM($J20:L20)=0,0,1))))*M$30</f>
        <v>#N/A</v>
      </c>
      <c r="N20" s="320" t="e">
        <f ca="1">(IF(SUM($J20:M20)&gt;($H20-1),0,IF($G20=N$28,1,IF(SUM($J20:M20)=0,0,1))))*N$30</f>
        <v>#N/A</v>
      </c>
      <c r="O20" s="320" t="e">
        <f ca="1">(IF(SUM($J20:N20)&gt;($H20-1),0,IF($G20=O$28,1,IF(SUM($J20:N20)=0,0,1))))*O$30</f>
        <v>#N/A</v>
      </c>
      <c r="P20" s="320" t="e">
        <f ca="1">(IF(SUM($J20:O20)&gt;($H20-1),0,IF($G20=P$28,1,IF(SUM($J20:O20)=0,0,1))))*P$30</f>
        <v>#N/A</v>
      </c>
      <c r="Q20" s="320" t="e">
        <f ca="1">(IF(SUM($J20:P20)&gt;($H20-1),0,IF($G20=Q$28,1,IF(SUM($J20:P20)=0,0,1))))*Q$30</f>
        <v>#N/A</v>
      </c>
      <c r="R20" s="320" t="e">
        <f ca="1">(IF(SUM($J20:Q20)&gt;($H20-1),0,IF($G20=R$28,1,IF(SUM($J20:Q20)=0,0,1))))*R$30</f>
        <v>#N/A</v>
      </c>
      <c r="S20" s="320" t="e">
        <f ca="1">(IF(SUM($J20:R20)&gt;($H20-1),0,IF($G20=S$28,1,IF(SUM($J20:R20)=0,0,1))))*S$30</f>
        <v>#N/A</v>
      </c>
      <c r="T20" s="320" t="e">
        <f ca="1">(IF(SUM($J20:S20)&gt;($H20-1),0,IF($G20=T$28,1,IF(SUM($J20:S20)=0,0,1))))*T$30</f>
        <v>#N/A</v>
      </c>
      <c r="U20" s="321" t="e">
        <f ca="1">(IF(SUM($J20:T20)&gt;($H20-1),0,IF($G20=U$28,1,IF(SUM($J20:T20)=0,0,1))))*U$30</f>
        <v>#N/A</v>
      </c>
      <c r="V20" s="319" t="e">
        <f ca="1">(IF(SUM($J20:U20)&gt;($H20-1),0,IF($G20=V$28,1,IF(SUM($J20:U20)=0,0,1))))*V$30</f>
        <v>#N/A</v>
      </c>
      <c r="W20" s="320" t="e">
        <f ca="1">(IF(SUM($J20:V20)&gt;($H20-1),0,IF($G20=W$28,1,IF(SUM($J20:V20)=0,0,1))))*W$30</f>
        <v>#N/A</v>
      </c>
      <c r="X20" s="320" t="e">
        <f ca="1">(IF(SUM($J20:W20)&gt;($H20-1),0,IF($G20=X$28,1,IF(SUM($J20:W20)=0,0,1))))*X$30</f>
        <v>#N/A</v>
      </c>
      <c r="Y20" s="320" t="e">
        <f ca="1">(IF(SUM($J20:X20)&gt;($H20-1),0,IF($G20=Y$28,1,IF(SUM($J20:X20)=0,0,1))))*Y$30</f>
        <v>#N/A</v>
      </c>
      <c r="Z20" s="320" t="e">
        <f ca="1">(IF(SUM($J20:Y20)&gt;($H20-1),0,IF($G20=Z$28,1,IF(SUM($J20:Y20)=0,0,1))))*Z$30</f>
        <v>#N/A</v>
      </c>
      <c r="AA20" s="320" t="e">
        <f ca="1">(IF(SUM($J20:Z20)&gt;($H20-1),0,IF($G20=AA$28,1,IF(SUM($J20:Z20)=0,0,1))))*AA$30</f>
        <v>#N/A</v>
      </c>
      <c r="AB20" s="320" t="e">
        <f ca="1">(IF(SUM($J20:AA20)&gt;($H20-1),0,IF($G20=AB$28,1,IF(SUM($J20:AA20)=0,0,1))))*AB$30</f>
        <v>#N/A</v>
      </c>
      <c r="AC20" s="320" t="e">
        <f ca="1">(IF(SUM($J20:AB20)&gt;($H20-1),0,IF($G20=AC$28,1,IF(SUM($J20:AB20)=0,0,1))))*AC$30</f>
        <v>#N/A</v>
      </c>
      <c r="AD20" s="320" t="e">
        <f ca="1">(IF(SUM($J20:AC20)&gt;($H20-1),0,IF($G20=AD$28,1,IF(SUM($J20:AC20)=0,0,1))))*AD$30</f>
        <v>#N/A</v>
      </c>
      <c r="AE20" s="320" t="e">
        <f ca="1">(IF(SUM($J20:AD20)&gt;($H20-1),0,IF($G20=AE$28,1,IF(SUM($J20:AD20)=0,0,1))))*AE$30</f>
        <v>#N/A</v>
      </c>
      <c r="AF20" s="320" t="e">
        <f ca="1">(IF(SUM($J20:AE20)&gt;($H20-1),0,IF($G20=AF$28,1,IF(SUM($J20:AE20)=0,0,1))))*AF$30</f>
        <v>#N/A</v>
      </c>
      <c r="AG20" s="321" t="e">
        <f ca="1">(IF(SUM($J20:AF20)&gt;($H20-1),0,IF($G20=AG$28,1,IF(SUM($J20:AF20)=0,0,1))))*AG$30</f>
        <v>#N/A</v>
      </c>
      <c r="AH20" s="319" t="e">
        <f ca="1">(IF(SUM($J20:AG20)&gt;($H20-1),0,IF($G20=AH$28,1,IF(SUM($J20:AG20)=0,0,1))))*AH$30</f>
        <v>#N/A</v>
      </c>
      <c r="AI20" s="320" t="e">
        <f ca="1">(IF(SUM($J20:AH20)&gt;($H20-1),0,IF($G20=AI$28,1,IF(SUM($J20:AH20)=0,0,1))))*AI$30</f>
        <v>#N/A</v>
      </c>
      <c r="AJ20" s="320" t="e">
        <f ca="1">(IF(SUM($J20:AI20)&gt;($H20-1),0,IF($G20=AJ$28,1,IF(SUM($J20:AI20)=0,0,1))))*AJ$30</f>
        <v>#N/A</v>
      </c>
      <c r="AK20" s="320" t="e">
        <f ca="1">(IF(SUM($J20:AJ20)&gt;($H20-1),0,IF($G20=AK$28,1,IF(SUM($J20:AJ20)=0,0,1))))*AK$30</f>
        <v>#N/A</v>
      </c>
      <c r="AL20" s="320" t="e">
        <f ca="1">(IF(SUM($J20:AK20)&gt;($H20-1),0,IF($G20=AL$28,1,IF(SUM($J20:AK20)=0,0,1))))*AL$30</f>
        <v>#N/A</v>
      </c>
      <c r="AM20" s="320" t="e">
        <f ca="1">(IF(SUM($J20:AL20)&gt;($H20-1),0,IF($G20=AM$28,1,IF(SUM($J20:AL20)=0,0,1))))*AM$30</f>
        <v>#N/A</v>
      </c>
      <c r="AN20" s="320" t="e">
        <f ca="1">(IF(SUM($J20:AM20)&gt;($H20-1),0,IF($G20=AN$28,1,IF(SUM($J20:AM20)=0,0,1))))*AN$30</f>
        <v>#N/A</v>
      </c>
      <c r="AO20" s="320" t="e">
        <f ca="1">(IF(SUM($J20:AN20)&gt;($H20-1),0,IF($G20=AO$28,1,IF(SUM($J20:AN20)=0,0,1))))*AO$30</f>
        <v>#N/A</v>
      </c>
      <c r="AP20" s="320" t="e">
        <f ca="1">(IF(SUM($J20:AO20)&gt;($H20-1),0,IF($G20=AP$28,1,IF(SUM($J20:AO20)=0,0,1))))*AP$30</f>
        <v>#N/A</v>
      </c>
      <c r="AQ20" s="320" t="e">
        <f ca="1">(IF(SUM($J20:AP20)&gt;($H20-1),0,IF($G20=AQ$28,1,IF(SUM($J20:AP20)=0,0,1))))*AQ$30</f>
        <v>#N/A</v>
      </c>
      <c r="AR20" s="320" t="e">
        <f ca="1">(IF(SUM($J20:AQ20)&gt;($H20-1),0,IF($G20=AR$28,1,IF(SUM($J20:AQ20)=0,0,1))))*AR$30</f>
        <v>#N/A</v>
      </c>
      <c r="AS20" s="321" t="e">
        <f ca="1">(IF(SUM($J20:AR20)&gt;($H20-1),0,IF($G20=AS$28,1,IF(SUM($J20:AR20)=0,0,1))))*AS$30</f>
        <v>#N/A</v>
      </c>
      <c r="AT20" s="319" t="e">
        <f ca="1">(IF(SUM($J20:AS20)&gt;($H20-1),0,IF($G20=AT$28,1,IF(SUM($J20:AS20)=0,0,1))))*AT$30</f>
        <v>#N/A</v>
      </c>
      <c r="AU20" s="320" t="e">
        <f ca="1">(IF(SUM($J20:AT20)&gt;($H20-1),0,IF($G20=AU$28,1,IF(SUM($J20:AT20)=0,0,1))))*AU$30</f>
        <v>#N/A</v>
      </c>
      <c r="AV20" s="320" t="e">
        <f ca="1">(IF(SUM($J20:AU20)&gt;($H20-1),0,IF($G20=AV$28,1,IF(SUM($J20:AU20)=0,0,1))))*AV$30</f>
        <v>#N/A</v>
      </c>
      <c r="AW20" s="320" t="e">
        <f ca="1">(IF(SUM($J20:AV20)&gt;($H20-1),0,IF($G20=AW$28,1,IF(SUM($J20:AV20)=0,0,1))))*AW$30</f>
        <v>#N/A</v>
      </c>
      <c r="AX20" s="320" t="e">
        <f ca="1">(IF(SUM($J20:AW20)&gt;($H20-1),0,IF($G20=AX$28,1,IF(SUM($J20:AW20)=0,0,1))))*AX$30</f>
        <v>#N/A</v>
      </c>
      <c r="AY20" s="320" t="e">
        <f ca="1">(IF(SUM($J20:AX20)&gt;($H20-1),0,IF($G20=AY$28,1,IF(SUM($J20:AX20)=0,0,1))))*AY$30</f>
        <v>#N/A</v>
      </c>
      <c r="AZ20" s="320" t="e">
        <f ca="1">(IF(SUM($J20:AY20)&gt;($H20-1),0,IF($G20=AZ$28,1,IF(SUM($J20:AY20)=0,0,1))))*AZ$30</f>
        <v>#N/A</v>
      </c>
      <c r="BA20" s="320" t="e">
        <f ca="1">(IF(SUM($J20:AZ20)&gt;($H20-1),0,IF($G20=BA$28,1,IF(SUM($J20:AZ20)=0,0,1))))*BA$30</f>
        <v>#N/A</v>
      </c>
      <c r="BB20" s="320" t="e">
        <f ca="1">(IF(SUM($J20:BA20)&gt;($H20-1),0,IF($G20=BB$28,1,IF(SUM($J20:BA20)=0,0,1))))*BB$30</f>
        <v>#N/A</v>
      </c>
      <c r="BC20" s="320" t="e">
        <f ca="1">(IF(SUM($J20:BB20)&gt;($H20-1),0,IF($G20=BC$28,1,IF(SUM($J20:BB20)=0,0,1))))*BC$30</f>
        <v>#N/A</v>
      </c>
      <c r="BD20" s="320" t="e">
        <f ca="1">(IF(SUM($J20:BC20)&gt;($H20-1),0,IF($G20=BD$28,1,IF(SUM($J20:BC20)=0,0,1))))*BD$30</f>
        <v>#N/A</v>
      </c>
      <c r="BE20" s="321" t="e">
        <f ca="1">(IF(SUM($J20:BD20)&gt;($H20-1),0,IF($G20=BE$28,1,IF(SUM($J20:BD20)=0,0,1))))*BE$30</f>
        <v>#N/A</v>
      </c>
      <c r="BF20" s="322"/>
      <c r="BG20" s="323"/>
      <c r="BH20" s="323"/>
      <c r="BI20" s="323"/>
      <c r="BJ20" s="323"/>
      <c r="BK20" s="323"/>
      <c r="BL20" s="323"/>
      <c r="BM20" s="323"/>
      <c r="BN20" s="323"/>
      <c r="BO20" s="323"/>
      <c r="BP20" s="323"/>
      <c r="BQ20" s="323"/>
      <c r="BR20" s="323"/>
      <c r="BS20" s="323"/>
      <c r="BT20" s="323"/>
      <c r="BU20" s="323"/>
      <c r="BV20" s="323"/>
      <c r="BW20" s="323"/>
      <c r="BX20" s="323"/>
      <c r="BY20" s="323"/>
      <c r="BZ20" s="324">
        <f t="shared" si="3"/>
        <v>0</v>
      </c>
      <c r="CA20" s="325" t="str">
        <f t="shared" si="5"/>
        <v/>
      </c>
      <c r="CG20" s="169">
        <f t="shared" si="4"/>
        <v>0</v>
      </c>
    </row>
    <row r="21" spans="1:110">
      <c r="A21" s="169" t="s">
        <v>66</v>
      </c>
      <c r="B21" s="314" t="s">
        <v>631</v>
      </c>
      <c r="C21" s="315"/>
      <c r="D21" s="315"/>
      <c r="E21" s="315"/>
      <c r="F21" s="315"/>
      <c r="G21" s="326"/>
      <c r="H21" s="315"/>
      <c r="I21" s="318">
        <f t="shared" si="0"/>
        <v>0</v>
      </c>
      <c r="J21" s="319">
        <f t="shared" ca="1" si="1"/>
        <v>0</v>
      </c>
      <c r="K21" s="320">
        <f t="shared" ca="1" si="6"/>
        <v>0</v>
      </c>
      <c r="L21" s="320" t="e">
        <f ca="1">(IF(SUM($J21:K21)&gt;($H21-1),0,IF($G21=L$28,1,IF(SUM($J21:K21)=0,0,1))))*L$30</f>
        <v>#N/A</v>
      </c>
      <c r="M21" s="320" t="e">
        <f ca="1">(IF(SUM($J21:L21)&gt;($H21-1),0,IF($G21=M$28,1,IF(SUM($J21:L21)=0,0,1))))*M$30</f>
        <v>#N/A</v>
      </c>
      <c r="N21" s="320" t="e">
        <f ca="1">(IF(SUM($J21:M21)&gt;($H21-1),0,IF($G21=N$28,1,IF(SUM($J21:M21)=0,0,1))))*N$30</f>
        <v>#N/A</v>
      </c>
      <c r="O21" s="320" t="e">
        <f ca="1">(IF(SUM($J21:N21)&gt;($H21-1),0,IF($G21=O$28,1,IF(SUM($J21:N21)=0,0,1))))*O$30</f>
        <v>#N/A</v>
      </c>
      <c r="P21" s="320" t="e">
        <f ca="1">(IF(SUM($J21:O21)&gt;($H21-1),0,IF($G21=P$28,1,IF(SUM($J21:O21)=0,0,1))))*P$30</f>
        <v>#N/A</v>
      </c>
      <c r="Q21" s="320" t="e">
        <f ca="1">(IF(SUM($J21:P21)&gt;($H21-1),0,IF($G21=Q$28,1,IF(SUM($J21:P21)=0,0,1))))*Q$30</f>
        <v>#N/A</v>
      </c>
      <c r="R21" s="320" t="e">
        <f ca="1">(IF(SUM($J21:Q21)&gt;($H21-1),0,IF($G21=R$28,1,IF(SUM($J21:Q21)=0,0,1))))*R$30</f>
        <v>#N/A</v>
      </c>
      <c r="S21" s="320" t="e">
        <f ca="1">(IF(SUM($J21:R21)&gt;($H21-1),0,IF($G21=S$28,1,IF(SUM($J21:R21)=0,0,1))))*S$30</f>
        <v>#N/A</v>
      </c>
      <c r="T21" s="320" t="e">
        <f ca="1">(IF(SUM($J21:S21)&gt;($H21-1),0,IF($G21=T$28,1,IF(SUM($J21:S21)=0,0,1))))*T$30</f>
        <v>#N/A</v>
      </c>
      <c r="U21" s="321" t="e">
        <f ca="1">(IF(SUM($J21:T21)&gt;($H21-1),0,IF($G21=U$28,1,IF(SUM($J21:T21)=0,0,1))))*U$30</f>
        <v>#N/A</v>
      </c>
      <c r="V21" s="319" t="e">
        <f ca="1">(IF(SUM($J21:U21)&gt;($H21-1),0,IF($G21=V$28,1,IF(SUM($J21:U21)=0,0,1))))*V$30</f>
        <v>#N/A</v>
      </c>
      <c r="W21" s="320" t="e">
        <f ca="1">(IF(SUM($J21:V21)&gt;($H21-1),0,IF($G21=W$28,1,IF(SUM($J21:V21)=0,0,1))))*W$30</f>
        <v>#N/A</v>
      </c>
      <c r="X21" s="320" t="e">
        <f ca="1">(IF(SUM($J21:W21)&gt;($H21-1),0,IF($G21=X$28,1,IF(SUM($J21:W21)=0,0,1))))*X$30</f>
        <v>#N/A</v>
      </c>
      <c r="Y21" s="320" t="e">
        <f ca="1">(IF(SUM($J21:X21)&gt;($H21-1),0,IF($G21=Y$28,1,IF(SUM($J21:X21)=0,0,1))))*Y$30</f>
        <v>#N/A</v>
      </c>
      <c r="Z21" s="320" t="e">
        <f ca="1">(IF(SUM($J21:Y21)&gt;($H21-1),0,IF($G21=Z$28,1,IF(SUM($J21:Y21)=0,0,1))))*Z$30</f>
        <v>#N/A</v>
      </c>
      <c r="AA21" s="320" t="e">
        <f ca="1">(IF(SUM($J21:Z21)&gt;($H21-1),0,IF($G21=AA$28,1,IF(SUM($J21:Z21)=0,0,1))))*AA$30</f>
        <v>#N/A</v>
      </c>
      <c r="AB21" s="320" t="e">
        <f ca="1">(IF(SUM($J21:AA21)&gt;($H21-1),0,IF($G21=AB$28,1,IF(SUM($J21:AA21)=0,0,1))))*AB$30</f>
        <v>#N/A</v>
      </c>
      <c r="AC21" s="320" t="e">
        <f ca="1">(IF(SUM($J21:AB21)&gt;($H21-1),0,IF($G21=AC$28,1,IF(SUM($J21:AB21)=0,0,1))))*AC$30</f>
        <v>#N/A</v>
      </c>
      <c r="AD21" s="320" t="e">
        <f ca="1">(IF(SUM($J21:AC21)&gt;($H21-1),0,IF($G21=AD$28,1,IF(SUM($J21:AC21)=0,0,1))))*AD$30</f>
        <v>#N/A</v>
      </c>
      <c r="AE21" s="320" t="e">
        <f ca="1">(IF(SUM($J21:AD21)&gt;($H21-1),0,IF($G21=AE$28,1,IF(SUM($J21:AD21)=0,0,1))))*AE$30</f>
        <v>#N/A</v>
      </c>
      <c r="AF21" s="320" t="e">
        <f ca="1">(IF(SUM($J21:AE21)&gt;($H21-1),0,IF($G21=AF$28,1,IF(SUM($J21:AE21)=0,0,1))))*AF$30</f>
        <v>#N/A</v>
      </c>
      <c r="AG21" s="321" t="e">
        <f ca="1">(IF(SUM($J21:AF21)&gt;($H21-1),0,IF($G21=AG$28,1,IF(SUM($J21:AF21)=0,0,1))))*AG$30</f>
        <v>#N/A</v>
      </c>
      <c r="AH21" s="319" t="e">
        <f ca="1">(IF(SUM($J21:AG21)&gt;($H21-1),0,IF($G21=AH$28,1,IF(SUM($J21:AG21)=0,0,1))))*AH$30</f>
        <v>#N/A</v>
      </c>
      <c r="AI21" s="320" t="e">
        <f ca="1">(IF(SUM($J21:AH21)&gt;($H21-1),0,IF($G21=AI$28,1,IF(SUM($J21:AH21)=0,0,1))))*AI$30</f>
        <v>#N/A</v>
      </c>
      <c r="AJ21" s="320" t="e">
        <f ca="1">(IF(SUM($J21:AI21)&gt;($H21-1),0,IF($G21=AJ$28,1,IF(SUM($J21:AI21)=0,0,1))))*AJ$30</f>
        <v>#N/A</v>
      </c>
      <c r="AK21" s="320" t="e">
        <f ca="1">(IF(SUM($J21:AJ21)&gt;($H21-1),0,IF($G21=AK$28,1,IF(SUM($J21:AJ21)=0,0,1))))*AK$30</f>
        <v>#N/A</v>
      </c>
      <c r="AL21" s="320" t="e">
        <f ca="1">(IF(SUM($J21:AK21)&gt;($H21-1),0,IF($G21=AL$28,1,IF(SUM($J21:AK21)=0,0,1))))*AL$30</f>
        <v>#N/A</v>
      </c>
      <c r="AM21" s="320" t="e">
        <f ca="1">(IF(SUM($J21:AL21)&gt;($H21-1),0,IF($G21=AM$28,1,IF(SUM($J21:AL21)=0,0,1))))*AM$30</f>
        <v>#N/A</v>
      </c>
      <c r="AN21" s="320" t="e">
        <f ca="1">(IF(SUM($J21:AM21)&gt;($H21-1),0,IF($G21=AN$28,1,IF(SUM($J21:AM21)=0,0,1))))*AN$30</f>
        <v>#N/A</v>
      </c>
      <c r="AO21" s="320" t="e">
        <f ca="1">(IF(SUM($J21:AN21)&gt;($H21-1),0,IF($G21=AO$28,1,IF(SUM($J21:AN21)=0,0,1))))*AO$30</f>
        <v>#N/A</v>
      </c>
      <c r="AP21" s="320" t="e">
        <f ca="1">(IF(SUM($J21:AO21)&gt;($H21-1),0,IF($G21=AP$28,1,IF(SUM($J21:AO21)=0,0,1))))*AP$30</f>
        <v>#N/A</v>
      </c>
      <c r="AQ21" s="320" t="e">
        <f ca="1">(IF(SUM($J21:AP21)&gt;($H21-1),0,IF($G21=AQ$28,1,IF(SUM($J21:AP21)=0,0,1))))*AQ$30</f>
        <v>#N/A</v>
      </c>
      <c r="AR21" s="320" t="e">
        <f ca="1">(IF(SUM($J21:AQ21)&gt;($H21-1),0,IF($G21=AR$28,1,IF(SUM($J21:AQ21)=0,0,1))))*AR$30</f>
        <v>#N/A</v>
      </c>
      <c r="AS21" s="321" t="e">
        <f ca="1">(IF(SUM($J21:AR21)&gt;($H21-1),0,IF($G21=AS$28,1,IF(SUM($J21:AR21)=0,0,1))))*AS$30</f>
        <v>#N/A</v>
      </c>
      <c r="AT21" s="319" t="e">
        <f ca="1">(IF(SUM($J21:AS21)&gt;($H21-1),0,IF($G21=AT$28,1,IF(SUM($J21:AS21)=0,0,1))))*AT$30</f>
        <v>#N/A</v>
      </c>
      <c r="AU21" s="320" t="e">
        <f ca="1">(IF(SUM($J21:AT21)&gt;($H21-1),0,IF($G21=AU$28,1,IF(SUM($J21:AT21)=0,0,1))))*AU$30</f>
        <v>#N/A</v>
      </c>
      <c r="AV21" s="320" t="e">
        <f ca="1">(IF(SUM($J21:AU21)&gt;($H21-1),0,IF($G21=AV$28,1,IF(SUM($J21:AU21)=0,0,1))))*AV$30</f>
        <v>#N/A</v>
      </c>
      <c r="AW21" s="320" t="e">
        <f ca="1">(IF(SUM($J21:AV21)&gt;($H21-1),0,IF($G21=AW$28,1,IF(SUM($J21:AV21)=0,0,1))))*AW$30</f>
        <v>#N/A</v>
      </c>
      <c r="AX21" s="320" t="e">
        <f ca="1">(IF(SUM($J21:AW21)&gt;($H21-1),0,IF($G21=AX$28,1,IF(SUM($J21:AW21)=0,0,1))))*AX$30</f>
        <v>#N/A</v>
      </c>
      <c r="AY21" s="320" t="e">
        <f ca="1">(IF(SUM($J21:AX21)&gt;($H21-1),0,IF($G21=AY$28,1,IF(SUM($J21:AX21)=0,0,1))))*AY$30</f>
        <v>#N/A</v>
      </c>
      <c r="AZ21" s="320" t="e">
        <f ca="1">(IF(SUM($J21:AY21)&gt;($H21-1),0,IF($G21=AZ$28,1,IF(SUM($J21:AY21)=0,0,1))))*AZ$30</f>
        <v>#N/A</v>
      </c>
      <c r="BA21" s="320" t="e">
        <f ca="1">(IF(SUM($J21:AZ21)&gt;($H21-1),0,IF($G21=BA$28,1,IF(SUM($J21:AZ21)=0,0,1))))*BA$30</f>
        <v>#N/A</v>
      </c>
      <c r="BB21" s="320" t="e">
        <f ca="1">(IF(SUM($J21:BA21)&gt;($H21-1),0,IF($G21=BB$28,1,IF(SUM($J21:BA21)=0,0,1))))*BB$30</f>
        <v>#N/A</v>
      </c>
      <c r="BC21" s="320" t="e">
        <f ca="1">(IF(SUM($J21:BB21)&gt;($H21-1),0,IF($G21=BC$28,1,IF(SUM($J21:BB21)=0,0,1))))*BC$30</f>
        <v>#N/A</v>
      </c>
      <c r="BD21" s="320" t="e">
        <f ca="1">(IF(SUM($J21:BC21)&gt;($H21-1),0,IF($G21=BD$28,1,IF(SUM($J21:BC21)=0,0,1))))*BD$30</f>
        <v>#N/A</v>
      </c>
      <c r="BE21" s="321" t="e">
        <f ca="1">(IF(SUM($J21:BD21)&gt;($H21-1),0,IF($G21=BE$28,1,IF(SUM($J21:BD21)=0,0,1))))*BE$30</f>
        <v>#N/A</v>
      </c>
      <c r="BF21" s="322"/>
      <c r="BG21" s="323"/>
      <c r="BH21" s="323"/>
      <c r="BI21" s="323"/>
      <c r="BJ21" s="323"/>
      <c r="BK21" s="323"/>
      <c r="BL21" s="323"/>
      <c r="BM21" s="323"/>
      <c r="BN21" s="323"/>
      <c r="BO21" s="323"/>
      <c r="BP21" s="323"/>
      <c r="BQ21" s="323"/>
      <c r="BR21" s="323"/>
      <c r="BS21" s="323"/>
      <c r="BT21" s="323"/>
      <c r="BU21" s="323"/>
      <c r="BV21" s="323"/>
      <c r="BW21" s="323"/>
      <c r="BX21" s="323"/>
      <c r="BY21" s="323"/>
      <c r="BZ21" s="324">
        <f t="shared" si="3"/>
        <v>0</v>
      </c>
      <c r="CA21" s="325" t="str">
        <f t="shared" si="5"/>
        <v/>
      </c>
      <c r="CG21" s="169">
        <f t="shared" si="4"/>
        <v>0</v>
      </c>
    </row>
    <row r="22" spans="1:110">
      <c r="A22" s="169" t="s">
        <v>67</v>
      </c>
      <c r="B22" s="314" t="s">
        <v>632</v>
      </c>
      <c r="C22" s="315"/>
      <c r="D22" s="315"/>
      <c r="E22" s="315"/>
      <c r="F22" s="315"/>
      <c r="G22" s="326"/>
      <c r="H22" s="315"/>
      <c r="I22" s="318">
        <f t="shared" si="0"/>
        <v>0</v>
      </c>
      <c r="J22" s="319">
        <f t="shared" ca="1" si="1"/>
        <v>0</v>
      </c>
      <c r="K22" s="320">
        <f t="shared" ca="1" si="6"/>
        <v>0</v>
      </c>
      <c r="L22" s="320" t="e">
        <f ca="1">(IF(SUM($J22:K22)&gt;($H22-1),0,IF($G22=L$28,1,IF(SUM($J22:K22)=0,0,1))))*L$30</f>
        <v>#N/A</v>
      </c>
      <c r="M22" s="320" t="e">
        <f ca="1">(IF(SUM($J22:L22)&gt;($H22-1),0,IF($G22=M$28,1,IF(SUM($J22:L22)=0,0,1))))*M$30</f>
        <v>#N/A</v>
      </c>
      <c r="N22" s="320" t="e">
        <f ca="1">(IF(SUM($J22:M22)&gt;($H22-1),0,IF($G22=N$28,1,IF(SUM($J22:M22)=0,0,1))))*N$30</f>
        <v>#N/A</v>
      </c>
      <c r="O22" s="320" t="e">
        <f ca="1">(IF(SUM($J22:N22)&gt;($H22-1),0,IF($G22=O$28,1,IF(SUM($J22:N22)=0,0,1))))*O$30</f>
        <v>#N/A</v>
      </c>
      <c r="P22" s="320" t="e">
        <f ca="1">(IF(SUM($J22:O22)&gt;($H22-1),0,IF($G22=P$28,1,IF(SUM($J22:O22)=0,0,1))))*P$30</f>
        <v>#N/A</v>
      </c>
      <c r="Q22" s="320" t="e">
        <f ca="1">(IF(SUM($J22:P22)&gt;($H22-1),0,IF($G22=Q$28,1,IF(SUM($J22:P22)=0,0,1))))*Q$30</f>
        <v>#N/A</v>
      </c>
      <c r="R22" s="320" t="e">
        <f ca="1">(IF(SUM($J22:Q22)&gt;($H22-1),0,IF($G22=R$28,1,IF(SUM($J22:Q22)=0,0,1))))*R$30</f>
        <v>#N/A</v>
      </c>
      <c r="S22" s="320" t="e">
        <f ca="1">(IF(SUM($J22:R22)&gt;($H22-1),0,IF($G22=S$28,1,IF(SUM($J22:R22)=0,0,1))))*S$30</f>
        <v>#N/A</v>
      </c>
      <c r="T22" s="320" t="e">
        <f ca="1">(IF(SUM($J22:S22)&gt;($H22-1),0,IF($G22=T$28,1,IF(SUM($J22:S22)=0,0,1))))*T$30</f>
        <v>#N/A</v>
      </c>
      <c r="U22" s="321" t="e">
        <f ca="1">(IF(SUM($J22:T22)&gt;($H22-1),0,IF($G22=U$28,1,IF(SUM($J22:T22)=0,0,1))))*U$30</f>
        <v>#N/A</v>
      </c>
      <c r="V22" s="319" t="e">
        <f ca="1">(IF(SUM($J22:U22)&gt;($H22-1),0,IF($G22=V$28,1,IF(SUM($J22:U22)=0,0,1))))*V$30</f>
        <v>#N/A</v>
      </c>
      <c r="W22" s="320" t="e">
        <f ca="1">(IF(SUM($J22:V22)&gt;($H22-1),0,IF($G22=W$28,1,IF(SUM($J22:V22)=0,0,1))))*W$30</f>
        <v>#N/A</v>
      </c>
      <c r="X22" s="320" t="e">
        <f ca="1">(IF(SUM($J22:W22)&gt;($H22-1),0,IF($G22=X$28,1,IF(SUM($J22:W22)=0,0,1))))*X$30</f>
        <v>#N/A</v>
      </c>
      <c r="Y22" s="320" t="e">
        <f ca="1">(IF(SUM($J22:X22)&gt;($H22-1),0,IF($G22=Y$28,1,IF(SUM($J22:X22)=0,0,1))))*Y$30</f>
        <v>#N/A</v>
      </c>
      <c r="Z22" s="320" t="e">
        <f ca="1">(IF(SUM($J22:Y22)&gt;($H22-1),0,IF($G22=Z$28,1,IF(SUM($J22:Y22)=0,0,1))))*Z$30</f>
        <v>#N/A</v>
      </c>
      <c r="AA22" s="320" t="e">
        <f ca="1">(IF(SUM($J22:Z22)&gt;($H22-1),0,IF($G22=AA$28,1,IF(SUM($J22:Z22)=0,0,1))))*AA$30</f>
        <v>#N/A</v>
      </c>
      <c r="AB22" s="320" t="e">
        <f ca="1">(IF(SUM($J22:AA22)&gt;($H22-1),0,IF($G22=AB$28,1,IF(SUM($J22:AA22)=0,0,1))))*AB$30</f>
        <v>#N/A</v>
      </c>
      <c r="AC22" s="320" t="e">
        <f ca="1">(IF(SUM($J22:AB22)&gt;($H22-1),0,IF($G22=AC$28,1,IF(SUM($J22:AB22)=0,0,1))))*AC$30</f>
        <v>#N/A</v>
      </c>
      <c r="AD22" s="320" t="e">
        <f ca="1">(IF(SUM($J22:AC22)&gt;($H22-1),0,IF($G22=AD$28,1,IF(SUM($J22:AC22)=0,0,1))))*AD$30</f>
        <v>#N/A</v>
      </c>
      <c r="AE22" s="320" t="e">
        <f ca="1">(IF(SUM($J22:AD22)&gt;($H22-1),0,IF($G22=AE$28,1,IF(SUM($J22:AD22)=0,0,1))))*AE$30</f>
        <v>#N/A</v>
      </c>
      <c r="AF22" s="320" t="e">
        <f ca="1">(IF(SUM($J22:AE22)&gt;($H22-1),0,IF($G22=AF$28,1,IF(SUM($J22:AE22)=0,0,1))))*AF$30</f>
        <v>#N/A</v>
      </c>
      <c r="AG22" s="321" t="e">
        <f ca="1">(IF(SUM($J22:AF22)&gt;($H22-1),0,IF($G22=AG$28,1,IF(SUM($J22:AF22)=0,0,1))))*AG$30</f>
        <v>#N/A</v>
      </c>
      <c r="AH22" s="319" t="e">
        <f ca="1">(IF(SUM($J22:AG22)&gt;($H22-1),0,IF($G22=AH$28,1,IF(SUM($J22:AG22)=0,0,1))))*AH$30</f>
        <v>#N/A</v>
      </c>
      <c r="AI22" s="320" t="e">
        <f ca="1">(IF(SUM($J22:AH22)&gt;($H22-1),0,IF($G22=AI$28,1,IF(SUM($J22:AH22)=0,0,1))))*AI$30</f>
        <v>#N/A</v>
      </c>
      <c r="AJ22" s="320" t="e">
        <f ca="1">(IF(SUM($J22:AI22)&gt;($H22-1),0,IF($G22=AJ$28,1,IF(SUM($J22:AI22)=0,0,1))))*AJ$30</f>
        <v>#N/A</v>
      </c>
      <c r="AK22" s="320" t="e">
        <f ca="1">(IF(SUM($J22:AJ22)&gt;($H22-1),0,IF($G22=AK$28,1,IF(SUM($J22:AJ22)=0,0,1))))*AK$30</f>
        <v>#N/A</v>
      </c>
      <c r="AL22" s="320" t="e">
        <f ca="1">(IF(SUM($J22:AK22)&gt;($H22-1),0,IF($G22=AL$28,1,IF(SUM($J22:AK22)=0,0,1))))*AL$30</f>
        <v>#N/A</v>
      </c>
      <c r="AM22" s="320" t="e">
        <f ca="1">(IF(SUM($J22:AL22)&gt;($H22-1),0,IF($G22=AM$28,1,IF(SUM($J22:AL22)=0,0,1))))*AM$30</f>
        <v>#N/A</v>
      </c>
      <c r="AN22" s="320" t="e">
        <f ca="1">(IF(SUM($J22:AM22)&gt;($H22-1),0,IF($G22=AN$28,1,IF(SUM($J22:AM22)=0,0,1))))*AN$30</f>
        <v>#N/A</v>
      </c>
      <c r="AO22" s="320" t="e">
        <f ca="1">(IF(SUM($J22:AN22)&gt;($H22-1),0,IF($G22=AO$28,1,IF(SUM($J22:AN22)=0,0,1))))*AO$30</f>
        <v>#N/A</v>
      </c>
      <c r="AP22" s="320" t="e">
        <f ca="1">(IF(SUM($J22:AO22)&gt;($H22-1),0,IF($G22=AP$28,1,IF(SUM($J22:AO22)=0,0,1))))*AP$30</f>
        <v>#N/A</v>
      </c>
      <c r="AQ22" s="320" t="e">
        <f ca="1">(IF(SUM($J22:AP22)&gt;($H22-1),0,IF($G22=AQ$28,1,IF(SUM($J22:AP22)=0,0,1))))*AQ$30</f>
        <v>#N/A</v>
      </c>
      <c r="AR22" s="320" t="e">
        <f ca="1">(IF(SUM($J22:AQ22)&gt;($H22-1),0,IF($G22=AR$28,1,IF(SUM($J22:AQ22)=0,0,1))))*AR$30</f>
        <v>#N/A</v>
      </c>
      <c r="AS22" s="321" t="e">
        <f ca="1">(IF(SUM($J22:AR22)&gt;($H22-1),0,IF($G22=AS$28,1,IF(SUM($J22:AR22)=0,0,1))))*AS$30</f>
        <v>#N/A</v>
      </c>
      <c r="AT22" s="319" t="e">
        <f ca="1">(IF(SUM($J22:AS22)&gt;($H22-1),0,IF($G22=AT$28,1,IF(SUM($J22:AS22)=0,0,1))))*AT$30</f>
        <v>#N/A</v>
      </c>
      <c r="AU22" s="320" t="e">
        <f ca="1">(IF(SUM($J22:AT22)&gt;($H22-1),0,IF($G22=AU$28,1,IF(SUM($J22:AT22)=0,0,1))))*AU$30</f>
        <v>#N/A</v>
      </c>
      <c r="AV22" s="320" t="e">
        <f ca="1">(IF(SUM($J22:AU22)&gt;($H22-1),0,IF($G22=AV$28,1,IF(SUM($J22:AU22)=0,0,1))))*AV$30</f>
        <v>#N/A</v>
      </c>
      <c r="AW22" s="320" t="e">
        <f ca="1">(IF(SUM($J22:AV22)&gt;($H22-1),0,IF($G22=AW$28,1,IF(SUM($J22:AV22)=0,0,1))))*AW$30</f>
        <v>#N/A</v>
      </c>
      <c r="AX22" s="320" t="e">
        <f ca="1">(IF(SUM($J22:AW22)&gt;($H22-1),0,IF($G22=AX$28,1,IF(SUM($J22:AW22)=0,0,1))))*AX$30</f>
        <v>#N/A</v>
      </c>
      <c r="AY22" s="320" t="e">
        <f ca="1">(IF(SUM($J22:AX22)&gt;($H22-1),0,IF($G22=AY$28,1,IF(SUM($J22:AX22)=0,0,1))))*AY$30</f>
        <v>#N/A</v>
      </c>
      <c r="AZ22" s="320" t="e">
        <f ca="1">(IF(SUM($J22:AY22)&gt;($H22-1),0,IF($G22=AZ$28,1,IF(SUM($J22:AY22)=0,0,1))))*AZ$30</f>
        <v>#N/A</v>
      </c>
      <c r="BA22" s="320" t="e">
        <f ca="1">(IF(SUM($J22:AZ22)&gt;($H22-1),0,IF($G22=BA$28,1,IF(SUM($J22:AZ22)=0,0,1))))*BA$30</f>
        <v>#N/A</v>
      </c>
      <c r="BB22" s="320" t="e">
        <f ca="1">(IF(SUM($J22:BA22)&gt;($H22-1),0,IF($G22=BB$28,1,IF(SUM($J22:BA22)=0,0,1))))*BB$30</f>
        <v>#N/A</v>
      </c>
      <c r="BC22" s="320" t="e">
        <f ca="1">(IF(SUM($J22:BB22)&gt;($H22-1),0,IF($G22=BC$28,1,IF(SUM($J22:BB22)=0,0,1))))*BC$30</f>
        <v>#N/A</v>
      </c>
      <c r="BD22" s="320" t="e">
        <f ca="1">(IF(SUM($J22:BC22)&gt;($H22-1),0,IF($G22=BD$28,1,IF(SUM($J22:BC22)=0,0,1))))*BD$30</f>
        <v>#N/A</v>
      </c>
      <c r="BE22" s="321" t="e">
        <f ca="1">(IF(SUM($J22:BD22)&gt;($H22-1),0,IF($G22=BE$28,1,IF(SUM($J22:BD22)=0,0,1))))*BE$30</f>
        <v>#N/A</v>
      </c>
      <c r="BF22" s="322"/>
      <c r="BG22" s="323"/>
      <c r="BH22" s="323"/>
      <c r="BI22" s="323"/>
      <c r="BJ22" s="323"/>
      <c r="BK22" s="323"/>
      <c r="BL22" s="323"/>
      <c r="BM22" s="323"/>
      <c r="BN22" s="323"/>
      <c r="BO22" s="323"/>
      <c r="BP22" s="323"/>
      <c r="BQ22" s="323"/>
      <c r="BR22" s="323"/>
      <c r="BS22" s="323"/>
      <c r="BT22" s="323"/>
      <c r="BU22" s="323"/>
      <c r="BV22" s="323"/>
      <c r="BW22" s="323"/>
      <c r="BX22" s="323"/>
      <c r="BY22" s="323"/>
      <c r="BZ22" s="324">
        <f t="shared" si="3"/>
        <v>0</v>
      </c>
      <c r="CA22" s="325" t="str">
        <f t="shared" si="5"/>
        <v/>
      </c>
      <c r="CG22" s="169">
        <f t="shared" si="4"/>
        <v>0</v>
      </c>
    </row>
    <row r="23" spans="1:110">
      <c r="A23" s="169" t="s">
        <v>68</v>
      </c>
      <c r="B23" s="314" t="s">
        <v>633</v>
      </c>
      <c r="C23" s="315"/>
      <c r="D23" s="315"/>
      <c r="E23" s="315"/>
      <c r="F23" s="315"/>
      <c r="G23" s="326"/>
      <c r="H23" s="315"/>
      <c r="I23" s="318">
        <f t="shared" si="0"/>
        <v>0</v>
      </c>
      <c r="J23" s="319">
        <f t="shared" ca="1" si="1"/>
        <v>0</v>
      </c>
      <c r="K23" s="320">
        <f t="shared" ca="1" si="6"/>
        <v>0</v>
      </c>
      <c r="L23" s="320" t="e">
        <f ca="1">(IF(SUM($J23:K23)&gt;($H23-1),0,IF($G23=L$28,1,IF(SUM($J23:K23)=0,0,1))))*L$30</f>
        <v>#N/A</v>
      </c>
      <c r="M23" s="320" t="e">
        <f ca="1">(IF(SUM($J23:L23)&gt;($H23-1),0,IF($G23=M$28,1,IF(SUM($J23:L23)=0,0,1))))*M$30</f>
        <v>#N/A</v>
      </c>
      <c r="N23" s="320" t="e">
        <f ca="1">(IF(SUM($J23:M23)&gt;($H23-1),0,IF($G23=N$28,1,IF(SUM($J23:M23)=0,0,1))))*N$30</f>
        <v>#N/A</v>
      </c>
      <c r="O23" s="320" t="e">
        <f ca="1">(IF(SUM($J23:N23)&gt;($H23-1),0,IF($G23=O$28,1,IF(SUM($J23:N23)=0,0,1))))*O$30</f>
        <v>#N/A</v>
      </c>
      <c r="P23" s="320" t="e">
        <f ca="1">(IF(SUM($J23:O23)&gt;($H23-1),0,IF($G23=P$28,1,IF(SUM($J23:O23)=0,0,1))))*P$30</f>
        <v>#N/A</v>
      </c>
      <c r="Q23" s="320" t="e">
        <f ca="1">(IF(SUM($J23:P23)&gt;($H23-1),0,IF($G23=Q$28,1,IF(SUM($J23:P23)=0,0,1))))*Q$30</f>
        <v>#N/A</v>
      </c>
      <c r="R23" s="320" t="e">
        <f ca="1">(IF(SUM($J23:Q23)&gt;($H23-1),0,IF($G23=R$28,1,IF(SUM($J23:Q23)=0,0,1))))*R$30</f>
        <v>#N/A</v>
      </c>
      <c r="S23" s="320" t="e">
        <f ca="1">(IF(SUM($J23:R23)&gt;($H23-1),0,IF($G23=S$28,1,IF(SUM($J23:R23)=0,0,1))))*S$30</f>
        <v>#N/A</v>
      </c>
      <c r="T23" s="320" t="e">
        <f ca="1">(IF(SUM($J23:S23)&gt;($H23-1),0,IF($G23=T$28,1,IF(SUM($J23:S23)=0,0,1))))*T$30</f>
        <v>#N/A</v>
      </c>
      <c r="U23" s="321" t="e">
        <f ca="1">(IF(SUM($J23:T23)&gt;($H23-1),0,IF($G23=U$28,1,IF(SUM($J23:T23)=0,0,1))))*U$30</f>
        <v>#N/A</v>
      </c>
      <c r="V23" s="319" t="e">
        <f ca="1">(IF(SUM($J23:U23)&gt;($H23-1),0,IF($G23=V$28,1,IF(SUM($J23:U23)=0,0,1))))*V$30</f>
        <v>#N/A</v>
      </c>
      <c r="W23" s="320" t="e">
        <f ca="1">(IF(SUM($J23:V23)&gt;($H23-1),0,IF($G23=W$28,1,IF(SUM($J23:V23)=0,0,1))))*W$30</f>
        <v>#N/A</v>
      </c>
      <c r="X23" s="320" t="e">
        <f ca="1">(IF(SUM($J23:W23)&gt;($H23-1),0,IF($G23=X$28,1,IF(SUM($J23:W23)=0,0,1))))*X$30</f>
        <v>#N/A</v>
      </c>
      <c r="Y23" s="320" t="e">
        <f ca="1">(IF(SUM($J23:X23)&gt;($H23-1),0,IF($G23=Y$28,1,IF(SUM($J23:X23)=0,0,1))))*Y$30</f>
        <v>#N/A</v>
      </c>
      <c r="Z23" s="320" t="e">
        <f ca="1">(IF(SUM($J23:Y23)&gt;($H23-1),0,IF($G23=Z$28,1,IF(SUM($J23:Y23)=0,0,1))))*Z$30</f>
        <v>#N/A</v>
      </c>
      <c r="AA23" s="320" t="e">
        <f ca="1">(IF(SUM($J23:Z23)&gt;($H23-1),0,IF($G23=AA$28,1,IF(SUM($J23:Z23)=0,0,1))))*AA$30</f>
        <v>#N/A</v>
      </c>
      <c r="AB23" s="320" t="e">
        <f ca="1">(IF(SUM($J23:AA23)&gt;($H23-1),0,IF($G23=AB$28,1,IF(SUM($J23:AA23)=0,0,1))))*AB$30</f>
        <v>#N/A</v>
      </c>
      <c r="AC23" s="320" t="e">
        <f ca="1">(IF(SUM($J23:AB23)&gt;($H23-1),0,IF($G23=AC$28,1,IF(SUM($J23:AB23)=0,0,1))))*AC$30</f>
        <v>#N/A</v>
      </c>
      <c r="AD23" s="320" t="e">
        <f ca="1">(IF(SUM($J23:AC23)&gt;($H23-1),0,IF($G23=AD$28,1,IF(SUM($J23:AC23)=0,0,1))))*AD$30</f>
        <v>#N/A</v>
      </c>
      <c r="AE23" s="320" t="e">
        <f ca="1">(IF(SUM($J23:AD23)&gt;($H23-1),0,IF($G23=AE$28,1,IF(SUM($J23:AD23)=0,0,1))))*AE$30</f>
        <v>#N/A</v>
      </c>
      <c r="AF23" s="320" t="e">
        <f ca="1">(IF(SUM($J23:AE23)&gt;($H23-1),0,IF($G23=AF$28,1,IF(SUM($J23:AE23)=0,0,1))))*AF$30</f>
        <v>#N/A</v>
      </c>
      <c r="AG23" s="321" t="e">
        <f ca="1">(IF(SUM($J23:AF23)&gt;($H23-1),0,IF($G23=AG$28,1,IF(SUM($J23:AF23)=0,0,1))))*AG$30</f>
        <v>#N/A</v>
      </c>
      <c r="AH23" s="319" t="e">
        <f ca="1">(IF(SUM($J23:AG23)&gt;($H23-1),0,IF($G23=AH$28,1,IF(SUM($J23:AG23)=0,0,1))))*AH$30</f>
        <v>#N/A</v>
      </c>
      <c r="AI23" s="320" t="e">
        <f ca="1">(IF(SUM($J23:AH23)&gt;($H23-1),0,IF($G23=AI$28,1,IF(SUM($J23:AH23)=0,0,1))))*AI$30</f>
        <v>#N/A</v>
      </c>
      <c r="AJ23" s="320" t="e">
        <f ca="1">(IF(SUM($J23:AI23)&gt;($H23-1),0,IF($G23=AJ$28,1,IF(SUM($J23:AI23)=0,0,1))))*AJ$30</f>
        <v>#N/A</v>
      </c>
      <c r="AK23" s="320" t="e">
        <f ca="1">(IF(SUM($J23:AJ23)&gt;($H23-1),0,IF($G23=AK$28,1,IF(SUM($J23:AJ23)=0,0,1))))*AK$30</f>
        <v>#N/A</v>
      </c>
      <c r="AL23" s="320" t="e">
        <f ca="1">(IF(SUM($J23:AK23)&gt;($H23-1),0,IF($G23=AL$28,1,IF(SUM($J23:AK23)=0,0,1))))*AL$30</f>
        <v>#N/A</v>
      </c>
      <c r="AM23" s="320" t="e">
        <f ca="1">(IF(SUM($J23:AL23)&gt;($H23-1),0,IF($G23=AM$28,1,IF(SUM($J23:AL23)=0,0,1))))*AM$30</f>
        <v>#N/A</v>
      </c>
      <c r="AN23" s="320" t="e">
        <f ca="1">(IF(SUM($J23:AM23)&gt;($H23-1),0,IF($G23=AN$28,1,IF(SUM($J23:AM23)=0,0,1))))*AN$30</f>
        <v>#N/A</v>
      </c>
      <c r="AO23" s="320" t="e">
        <f ca="1">(IF(SUM($J23:AN23)&gt;($H23-1),0,IF($G23=AO$28,1,IF(SUM($J23:AN23)=0,0,1))))*AO$30</f>
        <v>#N/A</v>
      </c>
      <c r="AP23" s="320" t="e">
        <f ca="1">(IF(SUM($J23:AO23)&gt;($H23-1),0,IF($G23=AP$28,1,IF(SUM($J23:AO23)=0,0,1))))*AP$30</f>
        <v>#N/A</v>
      </c>
      <c r="AQ23" s="320" t="e">
        <f ca="1">(IF(SUM($J23:AP23)&gt;($H23-1),0,IF($G23=AQ$28,1,IF(SUM($J23:AP23)=0,0,1))))*AQ$30</f>
        <v>#N/A</v>
      </c>
      <c r="AR23" s="320" t="e">
        <f ca="1">(IF(SUM($J23:AQ23)&gt;($H23-1),0,IF($G23=AR$28,1,IF(SUM($J23:AQ23)=0,0,1))))*AR$30</f>
        <v>#N/A</v>
      </c>
      <c r="AS23" s="321" t="e">
        <f ca="1">(IF(SUM($J23:AR23)&gt;($H23-1),0,IF($G23=AS$28,1,IF(SUM($J23:AR23)=0,0,1))))*AS$30</f>
        <v>#N/A</v>
      </c>
      <c r="AT23" s="319" t="e">
        <f ca="1">(IF(SUM($J23:AS23)&gt;($H23-1),0,IF($G23=AT$28,1,IF(SUM($J23:AS23)=0,0,1))))*AT$30</f>
        <v>#N/A</v>
      </c>
      <c r="AU23" s="320" t="e">
        <f ca="1">(IF(SUM($J23:AT23)&gt;($H23-1),0,IF($G23=AU$28,1,IF(SUM($J23:AT23)=0,0,1))))*AU$30</f>
        <v>#N/A</v>
      </c>
      <c r="AV23" s="320" t="e">
        <f ca="1">(IF(SUM($J23:AU23)&gt;($H23-1),0,IF($G23=AV$28,1,IF(SUM($J23:AU23)=0,0,1))))*AV$30</f>
        <v>#N/A</v>
      </c>
      <c r="AW23" s="320" t="e">
        <f ca="1">(IF(SUM($J23:AV23)&gt;($H23-1),0,IF($G23=AW$28,1,IF(SUM($J23:AV23)=0,0,1))))*AW$30</f>
        <v>#N/A</v>
      </c>
      <c r="AX23" s="320" t="e">
        <f ca="1">(IF(SUM($J23:AW23)&gt;($H23-1),0,IF($G23=AX$28,1,IF(SUM($J23:AW23)=0,0,1))))*AX$30</f>
        <v>#N/A</v>
      </c>
      <c r="AY23" s="320" t="e">
        <f ca="1">(IF(SUM($J23:AX23)&gt;($H23-1),0,IF($G23=AY$28,1,IF(SUM($J23:AX23)=0,0,1))))*AY$30</f>
        <v>#N/A</v>
      </c>
      <c r="AZ23" s="320" t="e">
        <f ca="1">(IF(SUM($J23:AY23)&gt;($H23-1),0,IF($G23=AZ$28,1,IF(SUM($J23:AY23)=0,0,1))))*AZ$30</f>
        <v>#N/A</v>
      </c>
      <c r="BA23" s="320" t="e">
        <f ca="1">(IF(SUM($J23:AZ23)&gt;($H23-1),0,IF($G23=BA$28,1,IF(SUM($J23:AZ23)=0,0,1))))*BA$30</f>
        <v>#N/A</v>
      </c>
      <c r="BB23" s="320" t="e">
        <f ca="1">(IF(SUM($J23:BA23)&gt;($H23-1),0,IF($G23=BB$28,1,IF(SUM($J23:BA23)=0,0,1))))*BB$30</f>
        <v>#N/A</v>
      </c>
      <c r="BC23" s="320" t="e">
        <f ca="1">(IF(SUM($J23:BB23)&gt;($H23-1),0,IF($G23=BC$28,1,IF(SUM($J23:BB23)=0,0,1))))*BC$30</f>
        <v>#N/A</v>
      </c>
      <c r="BD23" s="320" t="e">
        <f ca="1">(IF(SUM($J23:BC23)&gt;($H23-1),0,IF($G23=BD$28,1,IF(SUM($J23:BC23)=0,0,1))))*BD$30</f>
        <v>#N/A</v>
      </c>
      <c r="BE23" s="321" t="e">
        <f ca="1">(IF(SUM($J23:BD23)&gt;($H23-1),0,IF($G23=BE$28,1,IF(SUM($J23:BD23)=0,0,1))))*BE$30</f>
        <v>#N/A</v>
      </c>
      <c r="BF23" s="322"/>
      <c r="BG23" s="323"/>
      <c r="BH23" s="323"/>
      <c r="BI23" s="323"/>
      <c r="BJ23" s="323"/>
      <c r="BK23" s="323"/>
      <c r="BL23" s="323"/>
      <c r="BM23" s="323"/>
      <c r="BN23" s="323"/>
      <c r="BO23" s="323"/>
      <c r="BP23" s="323"/>
      <c r="BQ23" s="323"/>
      <c r="BR23" s="323"/>
      <c r="BS23" s="323"/>
      <c r="BT23" s="323"/>
      <c r="BU23" s="323"/>
      <c r="BV23" s="323"/>
      <c r="BW23" s="323"/>
      <c r="BX23" s="323"/>
      <c r="BY23" s="323"/>
      <c r="BZ23" s="324">
        <f t="shared" si="3"/>
        <v>0</v>
      </c>
      <c r="CA23" s="325" t="str">
        <f t="shared" si="5"/>
        <v/>
      </c>
      <c r="CG23" s="169">
        <f t="shared" si="4"/>
        <v>0</v>
      </c>
    </row>
    <row r="24" spans="1:110">
      <c r="A24" s="169" t="s">
        <v>69</v>
      </c>
      <c r="B24" s="314" t="s">
        <v>634</v>
      </c>
      <c r="C24" s="315"/>
      <c r="D24" s="315"/>
      <c r="E24" s="315"/>
      <c r="F24" s="315"/>
      <c r="G24" s="326"/>
      <c r="H24" s="315"/>
      <c r="I24" s="318">
        <f t="shared" si="0"/>
        <v>0</v>
      </c>
      <c r="J24" s="319">
        <f t="shared" ca="1" si="1"/>
        <v>0</v>
      </c>
      <c r="K24" s="320">
        <f t="shared" ca="1" si="6"/>
        <v>0</v>
      </c>
      <c r="L24" s="320" t="e">
        <f ca="1">(IF(SUM($J24:K24)&gt;($H24-1),0,IF($G24=L$28,1,IF(SUM($J24:K24)=0,0,1))))*L$30</f>
        <v>#N/A</v>
      </c>
      <c r="M24" s="320" t="e">
        <f ca="1">(IF(SUM($J24:L24)&gt;($H24-1),0,IF($G24=M$28,1,IF(SUM($J24:L24)=0,0,1))))*M$30</f>
        <v>#N/A</v>
      </c>
      <c r="N24" s="320" t="e">
        <f ca="1">(IF(SUM($J24:M24)&gt;($H24-1),0,IF($G24=N$28,1,IF(SUM($J24:M24)=0,0,1))))*N$30</f>
        <v>#N/A</v>
      </c>
      <c r="O24" s="320" t="e">
        <f ca="1">(IF(SUM($J24:N24)&gt;($H24-1),0,IF($G24=O$28,1,IF(SUM($J24:N24)=0,0,1))))*O$30</f>
        <v>#N/A</v>
      </c>
      <c r="P24" s="320" t="e">
        <f ca="1">(IF(SUM($J24:O24)&gt;($H24-1),0,IF($G24=P$28,1,IF(SUM($J24:O24)=0,0,1))))*P$30</f>
        <v>#N/A</v>
      </c>
      <c r="Q24" s="320" t="e">
        <f ca="1">(IF(SUM($J24:P24)&gt;($H24-1),0,IF($G24=Q$28,1,IF(SUM($J24:P24)=0,0,1))))*Q$30</f>
        <v>#N/A</v>
      </c>
      <c r="R24" s="320" t="e">
        <f ca="1">(IF(SUM($J24:Q24)&gt;($H24-1),0,IF($G24=R$28,1,IF(SUM($J24:Q24)=0,0,1))))*R$30</f>
        <v>#N/A</v>
      </c>
      <c r="S24" s="320" t="e">
        <f ca="1">(IF(SUM($J24:R24)&gt;($H24-1),0,IF($G24=S$28,1,IF(SUM($J24:R24)=0,0,1))))*S$30</f>
        <v>#N/A</v>
      </c>
      <c r="T24" s="320" t="e">
        <f ca="1">(IF(SUM($J24:S24)&gt;($H24-1),0,IF($G24=T$28,1,IF(SUM($J24:S24)=0,0,1))))*T$30</f>
        <v>#N/A</v>
      </c>
      <c r="U24" s="321" t="e">
        <f ca="1">(IF(SUM($J24:T24)&gt;($H24-1),0,IF($G24=U$28,1,IF(SUM($J24:T24)=0,0,1))))*U$30</f>
        <v>#N/A</v>
      </c>
      <c r="V24" s="319" t="e">
        <f ca="1">(IF(SUM($J24:U24)&gt;($H24-1),0,IF($G24=V$28,1,IF(SUM($J24:U24)=0,0,1))))*V$30</f>
        <v>#N/A</v>
      </c>
      <c r="W24" s="320" t="e">
        <f ca="1">(IF(SUM($J24:V24)&gt;($H24-1),0,IF($G24=W$28,1,IF(SUM($J24:V24)=0,0,1))))*W$30</f>
        <v>#N/A</v>
      </c>
      <c r="X24" s="320" t="e">
        <f ca="1">(IF(SUM($J24:W24)&gt;($H24-1),0,IF($G24=X$28,1,IF(SUM($J24:W24)=0,0,1))))*X$30</f>
        <v>#N/A</v>
      </c>
      <c r="Y24" s="320" t="e">
        <f ca="1">(IF(SUM($J24:X24)&gt;($H24-1),0,IF($G24=Y$28,1,IF(SUM($J24:X24)=0,0,1))))*Y$30</f>
        <v>#N/A</v>
      </c>
      <c r="Z24" s="320" t="e">
        <f ca="1">(IF(SUM($J24:Y24)&gt;($H24-1),0,IF($G24=Z$28,1,IF(SUM($J24:Y24)=0,0,1))))*Z$30</f>
        <v>#N/A</v>
      </c>
      <c r="AA24" s="320" t="e">
        <f ca="1">(IF(SUM($J24:Z24)&gt;($H24-1),0,IF($G24=AA$28,1,IF(SUM($J24:Z24)=0,0,1))))*AA$30</f>
        <v>#N/A</v>
      </c>
      <c r="AB24" s="320" t="e">
        <f ca="1">(IF(SUM($J24:AA24)&gt;($H24-1),0,IF($G24=AB$28,1,IF(SUM($J24:AA24)=0,0,1))))*AB$30</f>
        <v>#N/A</v>
      </c>
      <c r="AC24" s="320" t="e">
        <f ca="1">(IF(SUM($J24:AB24)&gt;($H24-1),0,IF($G24=AC$28,1,IF(SUM($J24:AB24)=0,0,1))))*AC$30</f>
        <v>#N/A</v>
      </c>
      <c r="AD24" s="320" t="e">
        <f ca="1">(IF(SUM($J24:AC24)&gt;($H24-1),0,IF($G24=AD$28,1,IF(SUM($J24:AC24)=0,0,1))))*AD$30</f>
        <v>#N/A</v>
      </c>
      <c r="AE24" s="320" t="e">
        <f ca="1">(IF(SUM($J24:AD24)&gt;($H24-1),0,IF($G24=AE$28,1,IF(SUM($J24:AD24)=0,0,1))))*AE$30</f>
        <v>#N/A</v>
      </c>
      <c r="AF24" s="320" t="e">
        <f ca="1">(IF(SUM($J24:AE24)&gt;($H24-1),0,IF($G24=AF$28,1,IF(SUM($J24:AE24)=0,0,1))))*AF$30</f>
        <v>#N/A</v>
      </c>
      <c r="AG24" s="321" t="e">
        <f ca="1">(IF(SUM($J24:AF24)&gt;($H24-1),0,IF($G24=AG$28,1,IF(SUM($J24:AF24)=0,0,1))))*AG$30</f>
        <v>#N/A</v>
      </c>
      <c r="AH24" s="319" t="e">
        <f ca="1">(IF(SUM($J24:AG24)&gt;($H24-1),0,IF($G24=AH$28,1,IF(SUM($J24:AG24)=0,0,1))))*AH$30</f>
        <v>#N/A</v>
      </c>
      <c r="AI24" s="320" t="e">
        <f ca="1">(IF(SUM($J24:AH24)&gt;($H24-1),0,IF($G24=AI$28,1,IF(SUM($J24:AH24)=0,0,1))))*AI$30</f>
        <v>#N/A</v>
      </c>
      <c r="AJ24" s="320" t="e">
        <f ca="1">(IF(SUM($J24:AI24)&gt;($H24-1),0,IF($G24=AJ$28,1,IF(SUM($J24:AI24)=0,0,1))))*AJ$30</f>
        <v>#N/A</v>
      </c>
      <c r="AK24" s="320" t="e">
        <f ca="1">(IF(SUM($J24:AJ24)&gt;($H24-1),0,IF($G24=AK$28,1,IF(SUM($J24:AJ24)=0,0,1))))*AK$30</f>
        <v>#N/A</v>
      </c>
      <c r="AL24" s="320" t="e">
        <f ca="1">(IF(SUM($J24:AK24)&gt;($H24-1),0,IF($G24=AL$28,1,IF(SUM($J24:AK24)=0,0,1))))*AL$30</f>
        <v>#N/A</v>
      </c>
      <c r="AM24" s="320" t="e">
        <f ca="1">(IF(SUM($J24:AL24)&gt;($H24-1),0,IF($G24=AM$28,1,IF(SUM($J24:AL24)=0,0,1))))*AM$30</f>
        <v>#N/A</v>
      </c>
      <c r="AN24" s="320" t="e">
        <f ca="1">(IF(SUM($J24:AM24)&gt;($H24-1),0,IF($G24=AN$28,1,IF(SUM($J24:AM24)=0,0,1))))*AN$30</f>
        <v>#N/A</v>
      </c>
      <c r="AO24" s="320" t="e">
        <f ca="1">(IF(SUM($J24:AN24)&gt;($H24-1),0,IF($G24=AO$28,1,IF(SUM($J24:AN24)=0,0,1))))*AO$30</f>
        <v>#N/A</v>
      </c>
      <c r="AP24" s="320" t="e">
        <f ca="1">(IF(SUM($J24:AO24)&gt;($H24-1),0,IF($G24=AP$28,1,IF(SUM($J24:AO24)=0,0,1))))*AP$30</f>
        <v>#N/A</v>
      </c>
      <c r="AQ24" s="320" t="e">
        <f ca="1">(IF(SUM($J24:AP24)&gt;($H24-1),0,IF($G24=AQ$28,1,IF(SUM($J24:AP24)=0,0,1))))*AQ$30</f>
        <v>#N/A</v>
      </c>
      <c r="AR24" s="320" t="e">
        <f ca="1">(IF(SUM($J24:AQ24)&gt;($H24-1),0,IF($G24=AR$28,1,IF(SUM($J24:AQ24)=0,0,1))))*AR$30</f>
        <v>#N/A</v>
      </c>
      <c r="AS24" s="321" t="e">
        <f ca="1">(IF(SUM($J24:AR24)&gt;($H24-1),0,IF($G24=AS$28,1,IF(SUM($J24:AR24)=0,0,1))))*AS$30</f>
        <v>#N/A</v>
      </c>
      <c r="AT24" s="319" t="e">
        <f ca="1">(IF(SUM($J24:AS24)&gt;($H24-1),0,IF($G24=AT$28,1,IF(SUM($J24:AS24)=0,0,1))))*AT$30</f>
        <v>#N/A</v>
      </c>
      <c r="AU24" s="320" t="e">
        <f ca="1">(IF(SUM($J24:AT24)&gt;($H24-1),0,IF($G24=AU$28,1,IF(SUM($J24:AT24)=0,0,1))))*AU$30</f>
        <v>#N/A</v>
      </c>
      <c r="AV24" s="320" t="e">
        <f ca="1">(IF(SUM($J24:AU24)&gt;($H24-1),0,IF($G24=AV$28,1,IF(SUM($J24:AU24)=0,0,1))))*AV$30</f>
        <v>#N/A</v>
      </c>
      <c r="AW24" s="320" t="e">
        <f ca="1">(IF(SUM($J24:AV24)&gt;($H24-1),0,IF($G24=AW$28,1,IF(SUM($J24:AV24)=0,0,1))))*AW$30</f>
        <v>#N/A</v>
      </c>
      <c r="AX24" s="320" t="e">
        <f ca="1">(IF(SUM($J24:AW24)&gt;($H24-1),0,IF($G24=AX$28,1,IF(SUM($J24:AW24)=0,0,1))))*AX$30</f>
        <v>#N/A</v>
      </c>
      <c r="AY24" s="320" t="e">
        <f ca="1">(IF(SUM($J24:AX24)&gt;($H24-1),0,IF($G24=AY$28,1,IF(SUM($J24:AX24)=0,0,1))))*AY$30</f>
        <v>#N/A</v>
      </c>
      <c r="AZ24" s="320" t="e">
        <f ca="1">(IF(SUM($J24:AY24)&gt;($H24-1),0,IF($G24=AZ$28,1,IF(SUM($J24:AY24)=0,0,1))))*AZ$30</f>
        <v>#N/A</v>
      </c>
      <c r="BA24" s="320" t="e">
        <f ca="1">(IF(SUM($J24:AZ24)&gt;($H24-1),0,IF($G24=BA$28,1,IF(SUM($J24:AZ24)=0,0,1))))*BA$30</f>
        <v>#N/A</v>
      </c>
      <c r="BB24" s="320" t="e">
        <f ca="1">(IF(SUM($J24:BA24)&gt;($H24-1),0,IF($G24=BB$28,1,IF(SUM($J24:BA24)=0,0,1))))*BB$30</f>
        <v>#N/A</v>
      </c>
      <c r="BC24" s="320" t="e">
        <f ca="1">(IF(SUM($J24:BB24)&gt;($H24-1),0,IF($G24=BC$28,1,IF(SUM($J24:BB24)=0,0,1))))*BC$30</f>
        <v>#N/A</v>
      </c>
      <c r="BD24" s="320" t="e">
        <f ca="1">(IF(SUM($J24:BC24)&gt;($H24-1),0,IF($G24=BD$28,1,IF(SUM($J24:BC24)=0,0,1))))*BD$30</f>
        <v>#N/A</v>
      </c>
      <c r="BE24" s="321" t="e">
        <f ca="1">(IF(SUM($J24:BD24)&gt;($H24-1),0,IF($G24=BE$28,1,IF(SUM($J24:BD24)=0,0,1))))*BE$30</f>
        <v>#N/A</v>
      </c>
      <c r="BF24" s="322"/>
      <c r="BG24" s="323"/>
      <c r="BH24" s="323"/>
      <c r="BI24" s="323"/>
      <c r="BJ24" s="323"/>
      <c r="BK24" s="323"/>
      <c r="BL24" s="323"/>
      <c r="BM24" s="323"/>
      <c r="BN24" s="323"/>
      <c r="BO24" s="323"/>
      <c r="BP24" s="323"/>
      <c r="BQ24" s="323"/>
      <c r="BR24" s="323"/>
      <c r="BS24" s="323"/>
      <c r="BT24" s="323"/>
      <c r="BU24" s="323"/>
      <c r="BV24" s="323"/>
      <c r="BW24" s="323"/>
      <c r="BX24" s="323"/>
      <c r="BY24" s="323"/>
      <c r="BZ24" s="324">
        <f t="shared" si="3"/>
        <v>0</v>
      </c>
      <c r="CA24" s="325" t="str">
        <f t="shared" si="5"/>
        <v/>
      </c>
      <c r="CG24" s="169">
        <f t="shared" si="4"/>
        <v>0</v>
      </c>
    </row>
    <row r="25" spans="1:110">
      <c r="A25" s="169" t="s">
        <v>70</v>
      </c>
      <c r="B25" s="314" t="s">
        <v>635</v>
      </c>
      <c r="C25" s="315"/>
      <c r="D25" s="315"/>
      <c r="E25" s="315"/>
      <c r="F25" s="315"/>
      <c r="G25" s="326"/>
      <c r="H25" s="315"/>
      <c r="I25" s="318">
        <f t="shared" si="0"/>
        <v>0</v>
      </c>
      <c r="J25" s="319">
        <f t="shared" ca="1" si="1"/>
        <v>0</v>
      </c>
      <c r="K25" s="320">
        <f t="shared" ca="1" si="6"/>
        <v>0</v>
      </c>
      <c r="L25" s="320" t="e">
        <f ca="1">(IF(SUM($J25:K25)&gt;($H25-1),0,IF($G25=L$28,1,IF(SUM($J25:K25)=0,0,1))))*L$30</f>
        <v>#N/A</v>
      </c>
      <c r="M25" s="320" t="e">
        <f ca="1">(IF(SUM($J25:L25)&gt;($H25-1),0,IF($G25=M$28,1,IF(SUM($J25:L25)=0,0,1))))*M$30</f>
        <v>#N/A</v>
      </c>
      <c r="N25" s="320" t="e">
        <f ca="1">(IF(SUM($J25:M25)&gt;($H25-1),0,IF($G25=N$28,1,IF(SUM($J25:M25)=0,0,1))))*N$30</f>
        <v>#N/A</v>
      </c>
      <c r="O25" s="320" t="e">
        <f ca="1">(IF(SUM($J25:N25)&gt;($H25-1),0,IF($G25=O$28,1,IF(SUM($J25:N25)=0,0,1))))*O$30</f>
        <v>#N/A</v>
      </c>
      <c r="P25" s="320" t="e">
        <f ca="1">(IF(SUM($J25:O25)&gt;($H25-1),0,IF($G25=P$28,1,IF(SUM($J25:O25)=0,0,1))))*P$30</f>
        <v>#N/A</v>
      </c>
      <c r="Q25" s="320" t="e">
        <f ca="1">(IF(SUM($J25:P25)&gt;($H25-1),0,IF($G25=Q$28,1,IF(SUM($J25:P25)=0,0,1))))*Q$30</f>
        <v>#N/A</v>
      </c>
      <c r="R25" s="320" t="e">
        <f ca="1">(IF(SUM($J25:Q25)&gt;($H25-1),0,IF($G25=R$28,1,IF(SUM($J25:Q25)=0,0,1))))*R$30</f>
        <v>#N/A</v>
      </c>
      <c r="S25" s="320" t="e">
        <f ca="1">(IF(SUM($J25:R25)&gt;($H25-1),0,IF($G25=S$28,1,IF(SUM($J25:R25)=0,0,1))))*S$30</f>
        <v>#N/A</v>
      </c>
      <c r="T25" s="320" t="e">
        <f ca="1">(IF(SUM($J25:S25)&gt;($H25-1),0,IF($G25=T$28,1,IF(SUM($J25:S25)=0,0,1))))*T$30</f>
        <v>#N/A</v>
      </c>
      <c r="U25" s="321" t="e">
        <f ca="1">(IF(SUM($J25:T25)&gt;($H25-1),0,IF($G25=U$28,1,IF(SUM($J25:T25)=0,0,1))))*U$30</f>
        <v>#N/A</v>
      </c>
      <c r="V25" s="319" t="e">
        <f ca="1">(IF(SUM($J25:U25)&gt;($H25-1),0,IF($G25=V$28,1,IF(SUM($J25:U25)=0,0,1))))*V$30</f>
        <v>#N/A</v>
      </c>
      <c r="W25" s="320" t="e">
        <f ca="1">(IF(SUM($J25:V25)&gt;($H25-1),0,IF($G25=W$28,1,IF(SUM($J25:V25)=0,0,1))))*W$30</f>
        <v>#N/A</v>
      </c>
      <c r="X25" s="320" t="e">
        <f ca="1">(IF(SUM($J25:W25)&gt;($H25-1),0,IF($G25=X$28,1,IF(SUM($J25:W25)=0,0,1))))*X$30</f>
        <v>#N/A</v>
      </c>
      <c r="Y25" s="320" t="e">
        <f ca="1">(IF(SUM($J25:X25)&gt;($H25-1),0,IF($G25=Y$28,1,IF(SUM($J25:X25)=0,0,1))))*Y$30</f>
        <v>#N/A</v>
      </c>
      <c r="Z25" s="320" t="e">
        <f ca="1">(IF(SUM($J25:Y25)&gt;($H25-1),0,IF($G25=Z$28,1,IF(SUM($J25:Y25)=0,0,1))))*Z$30</f>
        <v>#N/A</v>
      </c>
      <c r="AA25" s="320" t="e">
        <f ca="1">(IF(SUM($J25:Z25)&gt;($H25-1),0,IF($G25=AA$28,1,IF(SUM($J25:Z25)=0,0,1))))*AA$30</f>
        <v>#N/A</v>
      </c>
      <c r="AB25" s="320" t="e">
        <f ca="1">(IF(SUM($J25:AA25)&gt;($H25-1),0,IF($G25=AB$28,1,IF(SUM($J25:AA25)=0,0,1))))*AB$30</f>
        <v>#N/A</v>
      </c>
      <c r="AC25" s="320" t="e">
        <f ca="1">(IF(SUM($J25:AB25)&gt;($H25-1),0,IF($G25=AC$28,1,IF(SUM($J25:AB25)=0,0,1))))*AC$30</f>
        <v>#N/A</v>
      </c>
      <c r="AD25" s="320" t="e">
        <f ca="1">(IF(SUM($J25:AC25)&gt;($H25-1),0,IF($G25=AD$28,1,IF(SUM($J25:AC25)=0,0,1))))*AD$30</f>
        <v>#N/A</v>
      </c>
      <c r="AE25" s="320" t="e">
        <f ca="1">(IF(SUM($J25:AD25)&gt;($H25-1),0,IF($G25=AE$28,1,IF(SUM($J25:AD25)=0,0,1))))*AE$30</f>
        <v>#N/A</v>
      </c>
      <c r="AF25" s="320" t="e">
        <f ca="1">(IF(SUM($J25:AE25)&gt;($H25-1),0,IF($G25=AF$28,1,IF(SUM($J25:AE25)=0,0,1))))*AF$30</f>
        <v>#N/A</v>
      </c>
      <c r="AG25" s="321" t="e">
        <f ca="1">(IF(SUM($J25:AF25)&gt;($H25-1),0,IF($G25=AG$28,1,IF(SUM($J25:AF25)=0,0,1))))*AG$30</f>
        <v>#N/A</v>
      </c>
      <c r="AH25" s="319" t="e">
        <f ca="1">(IF(SUM($J25:AG25)&gt;($H25-1),0,IF($G25=AH$28,1,IF(SUM($J25:AG25)=0,0,1))))*AH$30</f>
        <v>#N/A</v>
      </c>
      <c r="AI25" s="320" t="e">
        <f ca="1">(IF(SUM($J25:AH25)&gt;($H25-1),0,IF($G25=AI$28,1,IF(SUM($J25:AH25)=0,0,1))))*AI$30</f>
        <v>#N/A</v>
      </c>
      <c r="AJ25" s="320" t="e">
        <f ca="1">(IF(SUM($J25:AI25)&gt;($H25-1),0,IF($G25=AJ$28,1,IF(SUM($J25:AI25)=0,0,1))))*AJ$30</f>
        <v>#N/A</v>
      </c>
      <c r="AK25" s="320" t="e">
        <f ca="1">(IF(SUM($J25:AJ25)&gt;($H25-1),0,IF($G25=AK$28,1,IF(SUM($J25:AJ25)=0,0,1))))*AK$30</f>
        <v>#N/A</v>
      </c>
      <c r="AL25" s="320" t="e">
        <f ca="1">(IF(SUM($J25:AK25)&gt;($H25-1),0,IF($G25=AL$28,1,IF(SUM($J25:AK25)=0,0,1))))*AL$30</f>
        <v>#N/A</v>
      </c>
      <c r="AM25" s="320" t="e">
        <f ca="1">(IF(SUM($J25:AL25)&gt;($H25-1),0,IF($G25=AM$28,1,IF(SUM($J25:AL25)=0,0,1))))*AM$30</f>
        <v>#N/A</v>
      </c>
      <c r="AN25" s="320" t="e">
        <f ca="1">(IF(SUM($J25:AM25)&gt;($H25-1),0,IF($G25=AN$28,1,IF(SUM($J25:AM25)=0,0,1))))*AN$30</f>
        <v>#N/A</v>
      </c>
      <c r="AO25" s="320" t="e">
        <f ca="1">(IF(SUM($J25:AN25)&gt;($H25-1),0,IF($G25=AO$28,1,IF(SUM($J25:AN25)=0,0,1))))*AO$30</f>
        <v>#N/A</v>
      </c>
      <c r="AP25" s="320" t="e">
        <f ca="1">(IF(SUM($J25:AO25)&gt;($H25-1),0,IF($G25=AP$28,1,IF(SUM($J25:AO25)=0,0,1))))*AP$30</f>
        <v>#N/A</v>
      </c>
      <c r="AQ25" s="320" t="e">
        <f ca="1">(IF(SUM($J25:AP25)&gt;($H25-1),0,IF($G25=AQ$28,1,IF(SUM($J25:AP25)=0,0,1))))*AQ$30</f>
        <v>#N/A</v>
      </c>
      <c r="AR25" s="320" t="e">
        <f ca="1">(IF(SUM($J25:AQ25)&gt;($H25-1),0,IF($G25=AR$28,1,IF(SUM($J25:AQ25)=0,0,1))))*AR$30</f>
        <v>#N/A</v>
      </c>
      <c r="AS25" s="321" t="e">
        <f ca="1">(IF(SUM($J25:AR25)&gt;($H25-1),0,IF($G25=AS$28,1,IF(SUM($J25:AR25)=0,0,1))))*AS$30</f>
        <v>#N/A</v>
      </c>
      <c r="AT25" s="319" t="e">
        <f ca="1">(IF(SUM($J25:AS25)&gt;($H25-1),0,IF($G25=AT$28,1,IF(SUM($J25:AS25)=0,0,1))))*AT$30</f>
        <v>#N/A</v>
      </c>
      <c r="AU25" s="320" t="e">
        <f ca="1">(IF(SUM($J25:AT25)&gt;($H25-1),0,IF($G25=AU$28,1,IF(SUM($J25:AT25)=0,0,1))))*AU$30</f>
        <v>#N/A</v>
      </c>
      <c r="AV25" s="320" t="e">
        <f ca="1">(IF(SUM($J25:AU25)&gt;($H25-1),0,IF($G25=AV$28,1,IF(SUM($J25:AU25)=0,0,1))))*AV$30</f>
        <v>#N/A</v>
      </c>
      <c r="AW25" s="320" t="e">
        <f ca="1">(IF(SUM($J25:AV25)&gt;($H25-1),0,IF($G25=AW$28,1,IF(SUM($J25:AV25)=0,0,1))))*AW$30</f>
        <v>#N/A</v>
      </c>
      <c r="AX25" s="320" t="e">
        <f ca="1">(IF(SUM($J25:AW25)&gt;($H25-1),0,IF($G25=AX$28,1,IF(SUM($J25:AW25)=0,0,1))))*AX$30</f>
        <v>#N/A</v>
      </c>
      <c r="AY25" s="320" t="e">
        <f ca="1">(IF(SUM($J25:AX25)&gt;($H25-1),0,IF($G25=AY$28,1,IF(SUM($J25:AX25)=0,0,1))))*AY$30</f>
        <v>#N/A</v>
      </c>
      <c r="AZ25" s="320" t="e">
        <f ca="1">(IF(SUM($J25:AY25)&gt;($H25-1),0,IF($G25=AZ$28,1,IF(SUM($J25:AY25)=0,0,1))))*AZ$30</f>
        <v>#N/A</v>
      </c>
      <c r="BA25" s="320" t="e">
        <f ca="1">(IF(SUM($J25:AZ25)&gt;($H25-1),0,IF($G25=BA$28,1,IF(SUM($J25:AZ25)=0,0,1))))*BA$30</f>
        <v>#N/A</v>
      </c>
      <c r="BB25" s="320" t="e">
        <f ca="1">(IF(SUM($J25:BA25)&gt;($H25-1),0,IF($G25=BB$28,1,IF(SUM($J25:BA25)=0,0,1))))*BB$30</f>
        <v>#N/A</v>
      </c>
      <c r="BC25" s="320" t="e">
        <f ca="1">(IF(SUM($J25:BB25)&gt;($H25-1),0,IF($G25=BC$28,1,IF(SUM($J25:BB25)=0,0,1))))*BC$30</f>
        <v>#N/A</v>
      </c>
      <c r="BD25" s="320" t="e">
        <f ca="1">(IF(SUM($J25:BC25)&gt;($H25-1),0,IF($G25=BD$28,1,IF(SUM($J25:BC25)=0,0,1))))*BD$30</f>
        <v>#N/A</v>
      </c>
      <c r="BE25" s="321" t="e">
        <f ca="1">(IF(SUM($J25:BD25)&gt;($H25-1),0,IF($G25=BE$28,1,IF(SUM($J25:BD25)=0,0,1))))*BE$30</f>
        <v>#N/A</v>
      </c>
      <c r="BF25" s="322"/>
      <c r="BG25" s="323"/>
      <c r="BH25" s="323"/>
      <c r="BI25" s="323"/>
      <c r="BJ25" s="323"/>
      <c r="BK25" s="323"/>
      <c r="BL25" s="323"/>
      <c r="BM25" s="323"/>
      <c r="BN25" s="323"/>
      <c r="BO25" s="323"/>
      <c r="BP25" s="323"/>
      <c r="BQ25" s="323"/>
      <c r="BR25" s="323"/>
      <c r="BS25" s="323"/>
      <c r="BT25" s="323"/>
      <c r="BU25" s="323"/>
      <c r="BV25" s="323"/>
      <c r="BW25" s="323"/>
      <c r="BX25" s="323"/>
      <c r="BY25" s="323"/>
      <c r="BZ25" s="324">
        <f t="shared" si="3"/>
        <v>0</v>
      </c>
      <c r="CA25" s="325" t="str">
        <f t="shared" si="5"/>
        <v/>
      </c>
      <c r="CG25" s="169">
        <f t="shared" si="4"/>
        <v>0</v>
      </c>
    </row>
    <row r="26" spans="1:110">
      <c r="A26" s="169" t="s">
        <v>71</v>
      </c>
      <c r="B26" s="314" t="s">
        <v>636</v>
      </c>
      <c r="C26" s="315"/>
      <c r="D26" s="315"/>
      <c r="E26" s="315"/>
      <c r="F26" s="315"/>
      <c r="G26" s="326"/>
      <c r="H26" s="315"/>
      <c r="I26" s="318">
        <f t="shared" si="0"/>
        <v>0</v>
      </c>
      <c r="J26" s="319">
        <f t="shared" ca="1" si="1"/>
        <v>0</v>
      </c>
      <c r="K26" s="320">
        <f t="shared" ca="1" si="6"/>
        <v>0</v>
      </c>
      <c r="L26" s="320" t="e">
        <f ca="1">(IF(SUM($J26:K26)&gt;($H26-1),0,IF($G26=L$28,1,IF(SUM($J26:K26)=0,0,1))))*L$30</f>
        <v>#N/A</v>
      </c>
      <c r="M26" s="320" t="e">
        <f ca="1">(IF(SUM($J26:L26)&gt;($H26-1),0,IF($G26=M$28,1,IF(SUM($J26:L26)=0,0,1))))*M$30</f>
        <v>#N/A</v>
      </c>
      <c r="N26" s="320" t="e">
        <f ca="1">(IF(SUM($J26:M26)&gt;($H26-1),0,IF($G26=N$28,1,IF(SUM($J26:M26)=0,0,1))))*N$30</f>
        <v>#N/A</v>
      </c>
      <c r="O26" s="320" t="e">
        <f ca="1">(IF(SUM($J26:N26)&gt;($H26-1),0,IF($G26=O$28,1,IF(SUM($J26:N26)=0,0,1))))*O$30</f>
        <v>#N/A</v>
      </c>
      <c r="P26" s="320" t="e">
        <f ca="1">(IF(SUM($J26:O26)&gt;($H26-1),0,IF($G26=P$28,1,IF(SUM($J26:O26)=0,0,1))))*P$30</f>
        <v>#N/A</v>
      </c>
      <c r="Q26" s="320" t="e">
        <f ca="1">(IF(SUM($J26:P26)&gt;($H26-1),0,IF($G26=Q$28,1,IF(SUM($J26:P26)=0,0,1))))*Q$30</f>
        <v>#N/A</v>
      </c>
      <c r="R26" s="320" t="e">
        <f ca="1">(IF(SUM($J26:Q26)&gt;($H26-1),0,IF($G26=R$28,1,IF(SUM($J26:Q26)=0,0,1))))*R$30</f>
        <v>#N/A</v>
      </c>
      <c r="S26" s="320" t="e">
        <f ca="1">(IF(SUM($J26:R26)&gt;($H26-1),0,IF($G26=S$28,1,IF(SUM($J26:R26)=0,0,1))))*S$30</f>
        <v>#N/A</v>
      </c>
      <c r="T26" s="320" t="e">
        <f ca="1">(IF(SUM($J26:S26)&gt;($H26-1),0,IF($G26=T$28,1,IF(SUM($J26:S26)=0,0,1))))*T$30</f>
        <v>#N/A</v>
      </c>
      <c r="U26" s="321" t="e">
        <f ca="1">(IF(SUM($J26:T26)&gt;($H26-1),0,IF($G26=U$28,1,IF(SUM($J26:T26)=0,0,1))))*U$30</f>
        <v>#N/A</v>
      </c>
      <c r="V26" s="319" t="e">
        <f ca="1">(IF(SUM($J26:U26)&gt;($H26-1),0,IF($G26=V$28,1,IF(SUM($J26:U26)=0,0,1))))*V$30</f>
        <v>#N/A</v>
      </c>
      <c r="W26" s="320" t="e">
        <f ca="1">(IF(SUM($J26:V26)&gt;($H26-1),0,IF($G26=W$28,1,IF(SUM($J26:V26)=0,0,1))))*W$30</f>
        <v>#N/A</v>
      </c>
      <c r="X26" s="320" t="e">
        <f ca="1">(IF(SUM($J26:W26)&gt;($H26-1),0,IF($G26=X$28,1,IF(SUM($J26:W26)=0,0,1))))*X$30</f>
        <v>#N/A</v>
      </c>
      <c r="Y26" s="320" t="e">
        <f ca="1">(IF(SUM($J26:X26)&gt;($H26-1),0,IF($G26=Y$28,1,IF(SUM($J26:X26)=0,0,1))))*Y$30</f>
        <v>#N/A</v>
      </c>
      <c r="Z26" s="320" t="e">
        <f ca="1">(IF(SUM($J26:Y26)&gt;($H26-1),0,IF($G26=Z$28,1,IF(SUM($J26:Y26)=0,0,1))))*Z$30</f>
        <v>#N/A</v>
      </c>
      <c r="AA26" s="320" t="e">
        <f ca="1">(IF(SUM($J26:Z26)&gt;($H26-1),0,IF($G26=AA$28,1,IF(SUM($J26:Z26)=0,0,1))))*AA$30</f>
        <v>#N/A</v>
      </c>
      <c r="AB26" s="320" t="e">
        <f ca="1">(IF(SUM($J26:AA26)&gt;($H26-1),0,IF($G26=AB$28,1,IF(SUM($J26:AA26)=0,0,1))))*AB$30</f>
        <v>#N/A</v>
      </c>
      <c r="AC26" s="320" t="e">
        <f ca="1">(IF(SUM($J26:AB26)&gt;($H26-1),0,IF($G26=AC$28,1,IF(SUM($J26:AB26)=0,0,1))))*AC$30</f>
        <v>#N/A</v>
      </c>
      <c r="AD26" s="320" t="e">
        <f ca="1">(IF(SUM($J26:AC26)&gt;($H26-1),0,IF($G26=AD$28,1,IF(SUM($J26:AC26)=0,0,1))))*AD$30</f>
        <v>#N/A</v>
      </c>
      <c r="AE26" s="320" t="e">
        <f ca="1">(IF(SUM($J26:AD26)&gt;($H26-1),0,IF($G26=AE$28,1,IF(SUM($J26:AD26)=0,0,1))))*AE$30</f>
        <v>#N/A</v>
      </c>
      <c r="AF26" s="320" t="e">
        <f ca="1">(IF(SUM($J26:AE26)&gt;($H26-1),0,IF($G26=AF$28,1,IF(SUM($J26:AE26)=0,0,1))))*AF$30</f>
        <v>#N/A</v>
      </c>
      <c r="AG26" s="321" t="e">
        <f ca="1">(IF(SUM($J26:AF26)&gt;($H26-1),0,IF($G26=AG$28,1,IF(SUM($J26:AF26)=0,0,1))))*AG$30</f>
        <v>#N/A</v>
      </c>
      <c r="AH26" s="319" t="e">
        <f ca="1">(IF(SUM($J26:AG26)&gt;($H26-1),0,IF($G26=AH$28,1,IF(SUM($J26:AG26)=0,0,1))))*AH$30</f>
        <v>#N/A</v>
      </c>
      <c r="AI26" s="320" t="e">
        <f ca="1">(IF(SUM($J26:AH26)&gt;($H26-1),0,IF($G26=AI$28,1,IF(SUM($J26:AH26)=0,0,1))))*AI$30</f>
        <v>#N/A</v>
      </c>
      <c r="AJ26" s="320" t="e">
        <f ca="1">(IF(SUM($J26:AI26)&gt;($H26-1),0,IF($G26=AJ$28,1,IF(SUM($J26:AI26)=0,0,1))))*AJ$30</f>
        <v>#N/A</v>
      </c>
      <c r="AK26" s="320" t="e">
        <f ca="1">(IF(SUM($J26:AJ26)&gt;($H26-1),0,IF($G26=AK$28,1,IF(SUM($J26:AJ26)=0,0,1))))*AK$30</f>
        <v>#N/A</v>
      </c>
      <c r="AL26" s="320" t="e">
        <f ca="1">(IF(SUM($J26:AK26)&gt;($H26-1),0,IF($G26=AL$28,1,IF(SUM($J26:AK26)=0,0,1))))*AL$30</f>
        <v>#N/A</v>
      </c>
      <c r="AM26" s="320" t="e">
        <f ca="1">(IF(SUM($J26:AL26)&gt;($H26-1),0,IF($G26=AM$28,1,IF(SUM($J26:AL26)=0,0,1))))*AM$30</f>
        <v>#N/A</v>
      </c>
      <c r="AN26" s="320" t="e">
        <f ca="1">(IF(SUM($J26:AM26)&gt;($H26-1),0,IF($G26=AN$28,1,IF(SUM($J26:AM26)=0,0,1))))*AN$30</f>
        <v>#N/A</v>
      </c>
      <c r="AO26" s="320" t="e">
        <f ca="1">(IF(SUM($J26:AN26)&gt;($H26-1),0,IF($G26=AO$28,1,IF(SUM($J26:AN26)=0,0,1))))*AO$30</f>
        <v>#N/A</v>
      </c>
      <c r="AP26" s="320" t="e">
        <f ca="1">(IF(SUM($J26:AO26)&gt;($H26-1),0,IF($G26=AP$28,1,IF(SUM($J26:AO26)=0,0,1))))*AP$30</f>
        <v>#N/A</v>
      </c>
      <c r="AQ26" s="320" t="e">
        <f ca="1">(IF(SUM($J26:AP26)&gt;($H26-1),0,IF($G26=AQ$28,1,IF(SUM($J26:AP26)=0,0,1))))*AQ$30</f>
        <v>#N/A</v>
      </c>
      <c r="AR26" s="320" t="e">
        <f ca="1">(IF(SUM($J26:AQ26)&gt;($H26-1),0,IF($G26=AR$28,1,IF(SUM($J26:AQ26)=0,0,1))))*AR$30</f>
        <v>#N/A</v>
      </c>
      <c r="AS26" s="321" t="e">
        <f ca="1">(IF(SUM($J26:AR26)&gt;($H26-1),0,IF($G26=AS$28,1,IF(SUM($J26:AR26)=0,0,1))))*AS$30</f>
        <v>#N/A</v>
      </c>
      <c r="AT26" s="319" t="e">
        <f ca="1">(IF(SUM($J26:AS26)&gt;($H26-1),0,IF($G26=AT$28,1,IF(SUM($J26:AS26)=0,0,1))))*AT$30</f>
        <v>#N/A</v>
      </c>
      <c r="AU26" s="320" t="e">
        <f ca="1">(IF(SUM($J26:AT26)&gt;($H26-1),0,IF($G26=AU$28,1,IF(SUM($J26:AT26)=0,0,1))))*AU$30</f>
        <v>#N/A</v>
      </c>
      <c r="AV26" s="320" t="e">
        <f ca="1">(IF(SUM($J26:AU26)&gt;($H26-1),0,IF($G26=AV$28,1,IF(SUM($J26:AU26)=0,0,1))))*AV$30</f>
        <v>#N/A</v>
      </c>
      <c r="AW26" s="320" t="e">
        <f ca="1">(IF(SUM($J26:AV26)&gt;($H26-1),0,IF($G26=AW$28,1,IF(SUM($J26:AV26)=0,0,1))))*AW$30</f>
        <v>#N/A</v>
      </c>
      <c r="AX26" s="320" t="e">
        <f ca="1">(IF(SUM($J26:AW26)&gt;($H26-1),0,IF($G26=AX$28,1,IF(SUM($J26:AW26)=0,0,1))))*AX$30</f>
        <v>#N/A</v>
      </c>
      <c r="AY26" s="320" t="e">
        <f ca="1">(IF(SUM($J26:AX26)&gt;($H26-1),0,IF($G26=AY$28,1,IF(SUM($J26:AX26)=0,0,1))))*AY$30</f>
        <v>#N/A</v>
      </c>
      <c r="AZ26" s="320" t="e">
        <f ca="1">(IF(SUM($J26:AY26)&gt;($H26-1),0,IF($G26=AZ$28,1,IF(SUM($J26:AY26)=0,0,1))))*AZ$30</f>
        <v>#N/A</v>
      </c>
      <c r="BA26" s="320" t="e">
        <f ca="1">(IF(SUM($J26:AZ26)&gt;($H26-1),0,IF($G26=BA$28,1,IF(SUM($J26:AZ26)=0,0,1))))*BA$30</f>
        <v>#N/A</v>
      </c>
      <c r="BB26" s="320" t="e">
        <f ca="1">(IF(SUM($J26:BA26)&gt;($H26-1),0,IF($G26=BB$28,1,IF(SUM($J26:BA26)=0,0,1))))*BB$30</f>
        <v>#N/A</v>
      </c>
      <c r="BC26" s="320" t="e">
        <f ca="1">(IF(SUM($J26:BB26)&gt;($H26-1),0,IF($G26=BC$28,1,IF(SUM($J26:BB26)=0,0,1))))*BC$30</f>
        <v>#N/A</v>
      </c>
      <c r="BD26" s="320" t="e">
        <f ca="1">(IF(SUM($J26:BC26)&gt;($H26-1),0,IF($G26=BD$28,1,IF(SUM($J26:BC26)=0,0,1))))*BD$30</f>
        <v>#N/A</v>
      </c>
      <c r="BE26" s="321" t="e">
        <f ca="1">(IF(SUM($J26:BD26)&gt;($H26-1),0,IF($G26=BE$28,1,IF(SUM($J26:BD26)=0,0,1))))*BE$30</f>
        <v>#N/A</v>
      </c>
      <c r="BF26" s="322"/>
      <c r="BG26" s="327"/>
      <c r="BH26" s="327"/>
      <c r="BI26" s="327"/>
      <c r="BJ26" s="327"/>
      <c r="BK26" s="327"/>
      <c r="BL26" s="327"/>
      <c r="BM26" s="327"/>
      <c r="BN26" s="327"/>
      <c r="BO26" s="327"/>
      <c r="BP26" s="327"/>
      <c r="BQ26" s="327"/>
      <c r="BR26" s="327"/>
      <c r="BS26" s="327"/>
      <c r="BT26" s="327"/>
      <c r="BU26" s="327"/>
      <c r="BV26" s="327"/>
      <c r="BW26" s="327"/>
      <c r="BX26" s="327"/>
      <c r="BY26" s="327"/>
      <c r="BZ26" s="324">
        <f t="shared" si="3"/>
        <v>0</v>
      </c>
      <c r="CA26" s="325" t="str">
        <f t="shared" si="5"/>
        <v/>
      </c>
      <c r="CG26" s="169">
        <f t="shared" si="4"/>
        <v>0</v>
      </c>
    </row>
    <row r="27" spans="1:110">
      <c r="B27" s="164"/>
      <c r="C27" s="164"/>
      <c r="D27" s="164"/>
      <c r="E27" s="164"/>
      <c r="F27" s="164"/>
      <c r="G27" s="164"/>
      <c r="H27" s="164"/>
      <c r="I27" s="164"/>
      <c r="J27" s="164"/>
      <c r="K27" s="164"/>
      <c r="L27" s="164"/>
      <c r="M27" s="164"/>
      <c r="N27" s="164"/>
      <c r="O27" s="164"/>
      <c r="P27" s="164"/>
      <c r="Q27" s="164"/>
      <c r="R27" s="164"/>
      <c r="S27" s="164"/>
      <c r="T27" s="164"/>
      <c r="U27" s="164"/>
      <c r="V27" s="720" t="s">
        <v>1049</v>
      </c>
      <c r="W27" s="720"/>
      <c r="X27" s="720"/>
      <c r="Y27" s="720"/>
      <c r="Z27" s="720"/>
      <c r="AA27" s="720"/>
      <c r="AB27" s="720"/>
      <c r="AC27" s="720"/>
      <c r="AD27" s="720"/>
      <c r="AE27" s="720"/>
      <c r="AF27" s="720"/>
      <c r="AG27" s="720"/>
      <c r="AH27" s="720"/>
      <c r="AI27" s="720"/>
      <c r="AJ27" s="720"/>
      <c r="AK27" s="720"/>
      <c r="AL27" s="720"/>
      <c r="AM27" s="720"/>
      <c r="AN27" s="720"/>
      <c r="AO27" s="720"/>
      <c r="AP27" s="720"/>
      <c r="AQ27" s="720"/>
      <c r="AR27" s="720"/>
      <c r="AS27" s="720"/>
      <c r="AT27" s="720"/>
      <c r="AU27" s="720"/>
      <c r="AV27" s="720"/>
      <c r="AW27" s="720"/>
      <c r="AX27" s="720"/>
      <c r="AY27" s="720"/>
      <c r="AZ27" s="720"/>
      <c r="BA27" s="720"/>
      <c r="BB27" s="720"/>
      <c r="BC27" s="720"/>
      <c r="BD27" s="720"/>
      <c r="BE27" s="721"/>
      <c r="BF27" s="328">
        <f>+BF48</f>
        <v>0</v>
      </c>
      <c r="BG27" s="328">
        <f t="shared" ref="BG27:BY27" si="7">+BG48</f>
        <v>0</v>
      </c>
      <c r="BH27" s="328">
        <f t="shared" si="7"/>
        <v>0</v>
      </c>
      <c r="BI27" s="328">
        <f t="shared" si="7"/>
        <v>0</v>
      </c>
      <c r="BJ27" s="328">
        <f t="shared" si="7"/>
        <v>0</v>
      </c>
      <c r="BK27" s="328">
        <f t="shared" si="7"/>
        <v>0</v>
      </c>
      <c r="BL27" s="328">
        <f t="shared" si="7"/>
        <v>0</v>
      </c>
      <c r="BM27" s="328">
        <f t="shared" si="7"/>
        <v>0</v>
      </c>
      <c r="BN27" s="328">
        <f t="shared" si="7"/>
        <v>0</v>
      </c>
      <c r="BO27" s="328">
        <f t="shared" si="7"/>
        <v>0</v>
      </c>
      <c r="BP27" s="328">
        <f t="shared" si="7"/>
        <v>0</v>
      </c>
      <c r="BQ27" s="328">
        <f t="shared" si="7"/>
        <v>0</v>
      </c>
      <c r="BR27" s="328">
        <f t="shared" si="7"/>
        <v>0</v>
      </c>
      <c r="BS27" s="328">
        <f t="shared" si="7"/>
        <v>0</v>
      </c>
      <c r="BT27" s="328">
        <f t="shared" si="7"/>
        <v>0</v>
      </c>
      <c r="BU27" s="328">
        <f t="shared" si="7"/>
        <v>0</v>
      </c>
      <c r="BV27" s="328">
        <f t="shared" si="7"/>
        <v>0</v>
      </c>
      <c r="BW27" s="328">
        <f t="shared" si="7"/>
        <v>0</v>
      </c>
      <c r="BX27" s="328">
        <f t="shared" si="7"/>
        <v>0</v>
      </c>
      <c r="BY27" s="328">
        <f t="shared" si="7"/>
        <v>0</v>
      </c>
      <c r="CH27" s="169">
        <v>1</v>
      </c>
      <c r="CI27" s="350">
        <v>2</v>
      </c>
      <c r="CJ27" s="350">
        <v>3</v>
      </c>
      <c r="CK27" s="350">
        <v>4</v>
      </c>
      <c r="CL27" s="169">
        <v>5</v>
      </c>
      <c r="CM27" s="350">
        <v>6</v>
      </c>
      <c r="CN27" s="350">
        <v>7</v>
      </c>
      <c r="CO27" s="350">
        <v>8</v>
      </c>
      <c r="CP27" s="169">
        <v>9</v>
      </c>
      <c r="CQ27" s="350">
        <v>10</v>
      </c>
      <c r="CR27" s="350">
        <v>11</v>
      </c>
      <c r="CS27" s="350">
        <v>12</v>
      </c>
      <c r="CT27" s="169">
        <v>13</v>
      </c>
      <c r="CU27" s="350">
        <v>14</v>
      </c>
      <c r="CV27" s="350">
        <v>15</v>
      </c>
      <c r="CW27" s="350">
        <v>16</v>
      </c>
      <c r="CX27" s="169">
        <v>17</v>
      </c>
      <c r="CY27" s="350">
        <v>18</v>
      </c>
      <c r="CZ27" s="350">
        <v>19</v>
      </c>
      <c r="DA27" s="350">
        <v>20</v>
      </c>
      <c r="DB27" s="169">
        <v>21</v>
      </c>
    </row>
    <row r="28" spans="1:110" s="329" customFormat="1" ht="16.399999999999999" hidden="1" customHeight="1">
      <c r="I28" s="330">
        <f>SUM(I4:I27)</f>
        <v>0</v>
      </c>
      <c r="J28" s="331">
        <f ca="1">IF(MONTH(F29)=1,1,0)</f>
        <v>0</v>
      </c>
      <c r="K28" s="444">
        <f ca="1">IF(MONTH(F29)=2,1,IF(J28=1,2,0))</f>
        <v>0</v>
      </c>
      <c r="L28" s="444" t="e">
        <f ca="1">IF(SUM($J28:K28)&gt;($G$30-1),0,IF(K28=K29,L29,IF(MONTH($F$29)=L$29,1,IF(SUM($J28:K28)=0,0,(K28+1)))))</f>
        <v>#N/A</v>
      </c>
      <c r="M28" s="444" t="e">
        <f ca="1">IF(SUM($J28:L28)&gt;($G$30-1),0,IF(L28=L29,M29,IF(MONTH($F$29)=M$29,1,IF(SUM($J28:L28)=0,0,(L28+1)))))</f>
        <v>#N/A</v>
      </c>
      <c r="N28" s="444" t="e">
        <f ca="1">IF(SUM($J28:M28)&gt;($G$30-1),0,IF(M28=M29,N29,IF(MONTH($F$29)=N$29,1,IF(SUM($J28:M28)=0,0,(M28+1)))))</f>
        <v>#N/A</v>
      </c>
      <c r="O28" s="444" t="e">
        <f ca="1">IF(SUM($J28:N28)&gt;($G$30-1),0,IF(N28=N29,O29,IF(MONTH($F$29)=O$29,1,IF(SUM($J28:N28)=0,0,(N28+1)))))</f>
        <v>#N/A</v>
      </c>
      <c r="P28" s="444" t="e">
        <f ca="1">IF(SUM($J28:O28)&gt;($G$30-1),0,IF(O28=O29,P29,IF(MONTH($F$29)=P$29,1,IF(SUM($J28:O28)=0,0,(O28+1)))))</f>
        <v>#N/A</v>
      </c>
      <c r="Q28" s="444" t="e">
        <f ca="1">IF(SUM($J28:P28)&gt;($G$30-1),0,IF(P28=P29,Q29,IF(MONTH($F$29)=Q$29,1,IF(SUM($J28:P28)=0,0,(P28+1)))))</f>
        <v>#N/A</v>
      </c>
      <c r="R28" s="444" t="e">
        <f ca="1">IF(SUM($J28:Q28)&gt;($G$30-1),0,IF(Q28=Q29,R29,IF(MONTH($F$29)=R$29,1,IF(SUM($J28:Q28)=0,0,(Q28+1)))))</f>
        <v>#N/A</v>
      </c>
      <c r="S28" s="444" t="e">
        <f ca="1">IF(SUM($J28:R28)&gt;($G$30-1),0,IF(R28=R29,S29,IF(MONTH($F$29)=S$29,1,IF(SUM($J28:R28)=0,0,(R28+1)))))</f>
        <v>#N/A</v>
      </c>
      <c r="T28" s="444" t="e">
        <f ca="1">IF(SUM($J28:S28)&gt;($G$30-1),0,IF(S28=S29,T29,IF(MONTH($F$29)=T$29,1,IF(SUM($J28:S28)=0,0,(S28+1)))))</f>
        <v>#N/A</v>
      </c>
      <c r="U28" s="444" t="e">
        <f ca="1">IF(SUM($J28:T28)&gt;($G$30-1),0,IF(T28=T29,U29,IF(MONTH($F$29)=U$29,1,IF(SUM($J28:T28)=0,0,(T28+1)))))</f>
        <v>#N/A</v>
      </c>
      <c r="V28" s="444" t="e">
        <f ca="1">IF(SUM($J28:U28)&gt;($G$30-1),0,IF(U28=U29,V29,IF(MONTH($F$29)=V$29,1,IF(SUM($J28:U28)=0,0,(U28+1)))))</f>
        <v>#N/A</v>
      </c>
      <c r="W28" s="444" t="e">
        <f ca="1">IF(SUM($J28:V28)&gt;($G$30-1),0,IF(V28=V29,W29,IF(MONTH($F$29)=W$29,1,IF(SUM($J28:V28)=0,0,(V28+1)))))</f>
        <v>#N/A</v>
      </c>
      <c r="X28" s="444" t="e">
        <f ca="1">IF(SUM($J28:W28)&gt;($G$30-1),0,IF(W28=W29,X29,IF(MONTH($F$29)=X$29,1,IF(SUM($J28:W28)=0,0,(W28+1)))))</f>
        <v>#N/A</v>
      </c>
      <c r="Y28" s="444" t="e">
        <f ca="1">IF(SUM($J28:X28)&gt;($G$30-1),0,IF(X28=X29,Y29,IF(MONTH($F$29)=Y$29,1,IF(SUM($J28:X28)=0,0,(X28+1)))))</f>
        <v>#N/A</v>
      </c>
      <c r="Z28" s="444" t="e">
        <f ca="1">IF(SUM($J28:Y28)&gt;($G$30-1),0,IF(Y28=Y29,Z29,IF(MONTH($F$29)=Z$29,1,IF(SUM($J28:Y28)=0,0,(Y28+1)))))</f>
        <v>#N/A</v>
      </c>
      <c r="AA28" s="444" t="e">
        <f ca="1">IF(SUM($J28:Z28)&gt;($G$30-1),0,IF(Z28=Z29,AA29,IF(MONTH($F$29)=AA$29,1,IF(SUM($J28:Z28)=0,0,(Z28+1)))))</f>
        <v>#N/A</v>
      </c>
      <c r="AB28" s="444" t="e">
        <f ca="1">IF(SUM($J28:AA28)&gt;($G$30-1),0,IF(AA28=AA29,AB29,IF(MONTH($F$29)=AB$29,1,IF(SUM($J28:AA28)=0,0,(AA28+1)))))</f>
        <v>#N/A</v>
      </c>
      <c r="AC28" s="444" t="e">
        <f ca="1">IF(SUM($J28:AB28)&gt;($G$30-1),0,IF(AB28=AB29,AC29,IF(MONTH($F$29)=AC$29,1,IF(SUM($J28:AB28)=0,0,(AB28+1)))))</f>
        <v>#N/A</v>
      </c>
      <c r="AD28" s="444" t="e">
        <f ca="1">IF(SUM($J28:AC28)&gt;($G$30-1),0,IF(AC28=AC29,AD29,IF(MONTH($F$29)=AD$29,1,IF(SUM($J28:AC28)=0,0,(AC28+1)))))</f>
        <v>#N/A</v>
      </c>
      <c r="AE28" s="444" t="e">
        <f ca="1">IF(SUM($J28:AD28)&gt;($G$30-1),0,IF(AD28=AD29,AE29,IF(MONTH($F$29)=AE$29,1,IF(SUM($J28:AD28)=0,0,(AD28+1)))))</f>
        <v>#N/A</v>
      </c>
      <c r="AF28" s="444" t="e">
        <f ca="1">IF(SUM($J28:AE28)&gt;($G$30-1),0,IF(AE28=AE29,AF29,IF(MONTH($F$29)=AF$29,1,IF(SUM($J28:AE28)=0,0,(AE28+1)))))</f>
        <v>#N/A</v>
      </c>
      <c r="AG28" s="444" t="e">
        <f ca="1">IF(SUM($J28:AF28)&gt;($G$30-1),0,IF(AF28=AF29,AG29,IF(MONTH($F$29)=AG$29,1,IF(SUM($J28:AF28)=0,0,(AF28+1)))))</f>
        <v>#N/A</v>
      </c>
      <c r="AH28" s="444" t="e">
        <f ca="1">IF(SUM($J28:AG28)&gt;($G$30-1),0,IF(AG28=AG29,AH29,IF(MONTH($F$29)=AH$29,1,IF(SUM($J28:AG28)=0,0,(AG28+1)))))</f>
        <v>#N/A</v>
      </c>
      <c r="AI28" s="444" t="e">
        <f ca="1">IF(SUM($J28:AH28)&gt;($G$30-1),0,IF(AH28=AH29,AI29,IF(MONTH($F$29)=AI$29,1,IF(SUM($J28:AH28)=0,0,(AH28+1)))))</f>
        <v>#N/A</v>
      </c>
      <c r="AJ28" s="444" t="e">
        <f ca="1">IF(SUM($J28:AI28)&gt;($G$30-1),0,IF(AI28=AI29,AJ29,IF(MONTH($F$29)=AJ$29,1,IF(SUM($J28:AI28)=0,0,(AI28+1)))))</f>
        <v>#N/A</v>
      </c>
      <c r="AK28" s="444" t="e">
        <f ca="1">IF(SUM($J28:AJ28)&gt;($G$30-1),0,IF(AJ28=AJ29,AK29,IF(MONTH($F$29)=AK$29,1,IF(SUM($J28:AJ28)=0,0,(AJ28+1)))))</f>
        <v>#N/A</v>
      </c>
      <c r="AL28" s="444" t="e">
        <f ca="1">IF(SUM($J28:AK28)&gt;($G$30-1),0,IF(AK28=AK29,AL29,IF(MONTH($F$29)=AL$29,1,IF(SUM($J28:AK28)=0,0,(AK28+1)))))</f>
        <v>#N/A</v>
      </c>
      <c r="AM28" s="444" t="e">
        <f ca="1">IF(SUM($J28:AL28)&gt;($G$30-1),0,IF(AL28=AL29,AM29,IF(MONTH($F$29)=AM$29,1,IF(SUM($J28:AL28)=0,0,(AL28+1)))))</f>
        <v>#N/A</v>
      </c>
      <c r="AN28" s="444" t="e">
        <f ca="1">IF(SUM($J28:AM28)&gt;($G$30-1),0,IF(AM28=AM29,AN29,IF(MONTH($F$29)=AN$29,1,IF(SUM($J28:AM28)=0,0,(AM28+1)))))</f>
        <v>#N/A</v>
      </c>
      <c r="AO28" s="444" t="e">
        <f ca="1">IF(SUM($J28:AN28)&gt;($G$30-1),0,IF(AN28=AN29,AO29,IF(MONTH($F$29)=AO$29,1,IF(SUM($J28:AN28)=0,0,(AN28+1)))))</f>
        <v>#N/A</v>
      </c>
      <c r="AP28" s="444" t="e">
        <f ca="1">IF(SUM($J28:AO28)&gt;($G$30-1),0,IF(AO28=AO29,AP29,IF(MONTH($F$29)=AP$29,1,IF(SUM($J28:AO28)=0,0,(AO28+1)))))</f>
        <v>#N/A</v>
      </c>
      <c r="AQ28" s="444" t="e">
        <f ca="1">IF(SUM($J28:AP28)&gt;($G$30-1),0,IF(AP28=AP29,AQ29,IF(MONTH($F$29)=AQ$29,1,IF(SUM($J28:AP28)=0,0,(AP28+1)))))</f>
        <v>#N/A</v>
      </c>
      <c r="AR28" s="444" t="e">
        <f ca="1">IF(SUM($J28:AQ28)&gt;($G$30-1),0,IF(AQ28=AQ29,AR29,IF(MONTH($F$29)=AR$29,1,IF(SUM($J28:AQ28)=0,0,(AQ28+1)))))</f>
        <v>#N/A</v>
      </c>
      <c r="AS28" s="444" t="e">
        <f ca="1">IF(SUM($J28:AR28)&gt;($G$30-1),0,IF(AR28=AR29,AS29,IF(MONTH($F$29)=AS$29,1,IF(SUM($J28:AR28)=0,0,(AR28+1)))))</f>
        <v>#N/A</v>
      </c>
      <c r="AT28" s="444" t="e">
        <f ca="1">IF(SUM($J28:AS28)&gt;($G$30-1),0,IF(AS28=AS29,AT29,IF(MONTH($F$29)=AT$29,1,IF(SUM($J28:AS28)=0,0,(AS28+1)))))</f>
        <v>#N/A</v>
      </c>
      <c r="AU28" s="444" t="e">
        <f ca="1">IF(SUM($J28:AT28)&gt;($G$30-1),0,IF(AT28=AT29,AU29,IF(MONTH($F$29)=AU$29,1,IF(SUM($J28:AT28)=0,0,(AT28+1)))))</f>
        <v>#N/A</v>
      </c>
      <c r="AV28" s="444" t="e">
        <f ca="1">IF(SUM($J28:AU28)&gt;($G$30-1),0,IF(AU28=AU29,AV29,IF(MONTH($F$29)=AV$29,1,IF(SUM($J28:AU28)=0,0,(AU28+1)))))</f>
        <v>#N/A</v>
      </c>
      <c r="AW28" s="444" t="e">
        <f ca="1">IF(SUM($J28:AV28)&gt;($G$30-1),0,IF(AV28=AV29,AW29,IF(MONTH($F$29)=AW$29,1,IF(SUM($J28:AV28)=0,0,(AV28+1)))))</f>
        <v>#N/A</v>
      </c>
      <c r="AX28" s="444" t="e">
        <f ca="1">IF(SUM($J28:AW28)&gt;($G$30-1),0,IF(AW28=AW29,AX29,IF(MONTH($F$29)=AX$29,1,IF(SUM($J28:AW28)=0,0,(AW28+1)))))</f>
        <v>#N/A</v>
      </c>
      <c r="AY28" s="444" t="e">
        <f ca="1">IF(SUM($J28:AX28)&gt;($G$30-1),0,IF(AX28=AX29,AY29,IF(MONTH($F$29)=AY$29,1,IF(SUM($J28:AX28)=0,0,(AX28+1)))))</f>
        <v>#N/A</v>
      </c>
      <c r="AZ28" s="444" t="e">
        <f ca="1">IF(SUM($J28:AY28)&gt;($G$30-1),0,IF(AY28=AY29,AZ29,IF(MONTH($F$29)=AZ$29,1,IF(SUM($J28:AY28)=0,0,(AY28+1)))))</f>
        <v>#N/A</v>
      </c>
      <c r="BA28" s="444" t="e">
        <f ca="1">IF(SUM($J28:AZ28)&gt;($G$30-1),0,IF(AZ28=AZ29,BA29,IF(MONTH($F$29)=BA$29,1,IF(SUM($J28:AZ28)=0,0,(AZ28+1)))))</f>
        <v>#N/A</v>
      </c>
      <c r="BB28" s="444" t="e">
        <f ca="1">IF(SUM($J28:BA28)&gt;($G$30-1),0,IF(BA28=BA29,BB29,IF(MONTH($F$29)=BB$29,1,IF(SUM($J28:BA28)=0,0,(BA28+1)))))</f>
        <v>#N/A</v>
      </c>
      <c r="BC28" s="444" t="e">
        <f ca="1">IF(SUM($J28:BB28)&gt;($G$30-1),0,IF(BB28=BB29,BC29,IF(MONTH($F$29)=BC$29,1,IF(SUM($J28:BB28)=0,0,(BB28+1)))))</f>
        <v>#N/A</v>
      </c>
      <c r="BD28" s="444" t="e">
        <f ca="1">IF(SUM($J28:BC28)&gt;($G$30-1),0,IF(BC28=BC29,BD29,IF(MONTH($F$29)=BD$29,1,IF(SUM($J28:BC28)=0,0,(BC28+1)))))</f>
        <v>#N/A</v>
      </c>
      <c r="BE28" s="444" t="e">
        <f ca="1">IF(SUM($J28:BD28)&gt;($G$30-1),0,IF(BD28=BD29,BE29,IF(MONTH($F$29)=BE$29,1,IF(SUM($J28:BD28)=0,0,(BD28+1)))))</f>
        <v>#N/A</v>
      </c>
      <c r="BF28" s="329">
        <f>SUM(BF4:BF18)</f>
        <v>0</v>
      </c>
      <c r="BG28" s="329">
        <f t="shared" ref="BG28:BY28" si="8">SUM(BG4:BG18)</f>
        <v>0</v>
      </c>
      <c r="BH28" s="329">
        <f t="shared" si="8"/>
        <v>0</v>
      </c>
      <c r="BI28" s="329">
        <f t="shared" si="8"/>
        <v>0</v>
      </c>
      <c r="BJ28" s="329">
        <f t="shared" si="8"/>
        <v>0</v>
      </c>
      <c r="BK28" s="329">
        <f t="shared" si="8"/>
        <v>0</v>
      </c>
      <c r="BL28" s="329">
        <f t="shared" si="8"/>
        <v>0</v>
      </c>
      <c r="BM28" s="329">
        <f t="shared" si="8"/>
        <v>0</v>
      </c>
      <c r="BN28" s="329">
        <f t="shared" si="8"/>
        <v>0</v>
      </c>
      <c r="BO28" s="329">
        <f t="shared" si="8"/>
        <v>0</v>
      </c>
      <c r="BP28" s="329">
        <f t="shared" si="8"/>
        <v>0</v>
      </c>
      <c r="BQ28" s="329">
        <f t="shared" si="8"/>
        <v>0</v>
      </c>
      <c r="BR28" s="329">
        <f t="shared" si="8"/>
        <v>0</v>
      </c>
      <c r="BS28" s="329">
        <f t="shared" si="8"/>
        <v>0</v>
      </c>
      <c r="BT28" s="329">
        <f t="shared" si="8"/>
        <v>0</v>
      </c>
      <c r="BU28" s="329">
        <f t="shared" si="8"/>
        <v>0</v>
      </c>
      <c r="BV28" s="329">
        <f t="shared" si="8"/>
        <v>0</v>
      </c>
      <c r="BW28" s="329">
        <f t="shared" si="8"/>
        <v>0</v>
      </c>
      <c r="BX28" s="329">
        <f t="shared" si="8"/>
        <v>0</v>
      </c>
      <c r="BY28" s="329">
        <f t="shared" si="8"/>
        <v>0</v>
      </c>
      <c r="BZ28" s="332"/>
      <c r="CF28" s="304"/>
      <c r="CI28" s="477"/>
      <c r="CJ28" s="477"/>
      <c r="CK28" s="477"/>
      <c r="CL28" s="477"/>
      <c r="CM28" s="477"/>
      <c r="CN28" s="477"/>
      <c r="CO28" s="477"/>
      <c r="CP28" s="477"/>
      <c r="CQ28" s="477"/>
      <c r="CR28" s="477"/>
      <c r="CS28" s="477"/>
      <c r="CT28" s="477"/>
      <c r="CU28" s="477"/>
      <c r="CV28" s="477"/>
      <c r="CW28" s="477"/>
      <c r="CX28" s="477"/>
      <c r="CY28" s="477"/>
      <c r="CZ28" s="477"/>
      <c r="DA28" s="477"/>
      <c r="DB28" s="477"/>
    </row>
    <row r="29" spans="1:110" s="329" customFormat="1" ht="15.05" hidden="1" customHeight="1">
      <c r="E29" s="329" t="s">
        <v>10</v>
      </c>
      <c r="F29" s="333">
        <f ca="1">'3.Tasks'!F25</f>
        <v>46083</v>
      </c>
      <c r="I29" s="334"/>
      <c r="J29" s="335">
        <v>1</v>
      </c>
      <c r="K29" s="445">
        <v>2</v>
      </c>
      <c r="L29" s="445">
        <v>3</v>
      </c>
      <c r="M29" s="445">
        <v>4</v>
      </c>
      <c r="N29" s="445">
        <v>5</v>
      </c>
      <c r="O29" s="445">
        <v>6</v>
      </c>
      <c r="P29" s="445">
        <v>7</v>
      </c>
      <c r="Q29" s="445">
        <v>8</v>
      </c>
      <c r="R29" s="445">
        <v>9</v>
      </c>
      <c r="S29" s="445">
        <v>10</v>
      </c>
      <c r="T29" s="445">
        <v>11</v>
      </c>
      <c r="U29" s="445">
        <v>12</v>
      </c>
      <c r="V29" s="445">
        <v>13</v>
      </c>
      <c r="W29" s="445">
        <v>14</v>
      </c>
      <c r="X29" s="445">
        <v>15</v>
      </c>
      <c r="Y29" s="445">
        <v>16</v>
      </c>
      <c r="Z29" s="445">
        <v>17</v>
      </c>
      <c r="AA29" s="445">
        <v>18</v>
      </c>
      <c r="AB29" s="445">
        <v>19</v>
      </c>
      <c r="AC29" s="445">
        <v>20</v>
      </c>
      <c r="AD29" s="445">
        <v>21</v>
      </c>
      <c r="AE29" s="445">
        <v>22</v>
      </c>
      <c r="AF29" s="445">
        <v>23</v>
      </c>
      <c r="AG29" s="445">
        <v>24</v>
      </c>
      <c r="AH29" s="445">
        <v>25</v>
      </c>
      <c r="AI29" s="445">
        <v>26</v>
      </c>
      <c r="AJ29" s="445">
        <v>27</v>
      </c>
      <c r="AK29" s="445">
        <v>28</v>
      </c>
      <c r="AL29" s="445">
        <v>29</v>
      </c>
      <c r="AM29" s="445">
        <v>30</v>
      </c>
      <c r="AN29" s="445">
        <v>31</v>
      </c>
      <c r="AO29" s="445">
        <v>32</v>
      </c>
      <c r="AP29" s="445">
        <v>33</v>
      </c>
      <c r="AQ29" s="445">
        <v>34</v>
      </c>
      <c r="AR29" s="445">
        <v>35</v>
      </c>
      <c r="AS29" s="445">
        <v>36</v>
      </c>
      <c r="AT29" s="445">
        <v>37</v>
      </c>
      <c r="AU29" s="445">
        <v>38</v>
      </c>
      <c r="AV29" s="445">
        <v>39</v>
      </c>
      <c r="AW29" s="445">
        <v>40</v>
      </c>
      <c r="AX29" s="445">
        <v>41</v>
      </c>
      <c r="AY29" s="445">
        <v>42</v>
      </c>
      <c r="AZ29" s="445">
        <v>43</v>
      </c>
      <c r="BA29" s="445">
        <v>44</v>
      </c>
      <c r="BB29" s="445">
        <v>45</v>
      </c>
      <c r="BC29" s="445">
        <v>46</v>
      </c>
      <c r="BD29" s="445">
        <v>47</v>
      </c>
      <c r="BE29" s="445">
        <v>48</v>
      </c>
      <c r="BZ29" s="332">
        <v>4.95</v>
      </c>
      <c r="CF29" s="304"/>
      <c r="CI29" s="303"/>
      <c r="CJ29" s="303"/>
      <c r="CK29" s="303"/>
      <c r="CL29" s="303"/>
      <c r="CM29" s="303"/>
      <c r="CN29" s="303"/>
      <c r="CO29" s="303"/>
      <c r="CP29" s="303"/>
      <c r="CQ29" s="303"/>
      <c r="CR29" s="303"/>
      <c r="CS29" s="303"/>
      <c r="CT29" s="303"/>
      <c r="CU29" s="303"/>
      <c r="CV29" s="303"/>
      <c r="CW29" s="303"/>
      <c r="CX29" s="303"/>
      <c r="CY29" s="303"/>
      <c r="CZ29" s="303"/>
      <c r="DA29" s="303"/>
      <c r="DB29" s="303"/>
    </row>
    <row r="30" spans="1:110" ht="15.05" hidden="1" customHeight="1">
      <c r="E30" s="169" t="str">
        <f>+'3.Tasks'!E26</f>
        <v>Duração máxima:</v>
      </c>
      <c r="F30" s="443">
        <f>+'3.Tasks'!F26</f>
        <v>0</v>
      </c>
      <c r="G30" s="169" t="e">
        <f>+'3.Tasks'!G26</f>
        <v>#N/A</v>
      </c>
      <c r="I30" s="334"/>
      <c r="J30" s="335">
        <f t="shared" ref="J30:P30" ca="1" si="9">IF(J28=0,0,1)</f>
        <v>0</v>
      </c>
      <c r="K30" s="445">
        <f t="shared" ca="1" si="9"/>
        <v>0</v>
      </c>
      <c r="L30" s="445" t="e">
        <f t="shared" ca="1" si="9"/>
        <v>#N/A</v>
      </c>
      <c r="M30" s="445" t="e">
        <f t="shared" ca="1" si="9"/>
        <v>#N/A</v>
      </c>
      <c r="N30" s="445" t="e">
        <f t="shared" ca="1" si="9"/>
        <v>#N/A</v>
      </c>
      <c r="O30" s="445" t="e">
        <f t="shared" ca="1" si="9"/>
        <v>#N/A</v>
      </c>
      <c r="P30" s="445" t="e">
        <f t="shared" ca="1" si="9"/>
        <v>#N/A</v>
      </c>
      <c r="Q30" s="445" t="e">
        <f t="shared" ref="Q30:AS30" ca="1" si="10">IF(Q28=0,0,1)</f>
        <v>#N/A</v>
      </c>
      <c r="R30" s="445" t="e">
        <f t="shared" ca="1" si="10"/>
        <v>#N/A</v>
      </c>
      <c r="S30" s="445" t="e">
        <f t="shared" ca="1" si="10"/>
        <v>#N/A</v>
      </c>
      <c r="T30" s="445" t="e">
        <f t="shared" ca="1" si="10"/>
        <v>#N/A</v>
      </c>
      <c r="U30" s="445" t="e">
        <f t="shared" ca="1" si="10"/>
        <v>#N/A</v>
      </c>
      <c r="V30" s="445" t="e">
        <f t="shared" ca="1" si="10"/>
        <v>#N/A</v>
      </c>
      <c r="W30" s="445" t="e">
        <f t="shared" ca="1" si="10"/>
        <v>#N/A</v>
      </c>
      <c r="X30" s="445" t="e">
        <f t="shared" ca="1" si="10"/>
        <v>#N/A</v>
      </c>
      <c r="Y30" s="445" t="e">
        <f t="shared" ca="1" si="10"/>
        <v>#N/A</v>
      </c>
      <c r="Z30" s="445" t="e">
        <f t="shared" ca="1" si="10"/>
        <v>#N/A</v>
      </c>
      <c r="AA30" s="445" t="e">
        <f t="shared" ca="1" si="10"/>
        <v>#N/A</v>
      </c>
      <c r="AB30" s="445" t="e">
        <f t="shared" ca="1" si="10"/>
        <v>#N/A</v>
      </c>
      <c r="AC30" s="445" t="e">
        <f t="shared" ca="1" si="10"/>
        <v>#N/A</v>
      </c>
      <c r="AD30" s="445" t="e">
        <f t="shared" ca="1" si="10"/>
        <v>#N/A</v>
      </c>
      <c r="AE30" s="445" t="e">
        <f t="shared" ca="1" si="10"/>
        <v>#N/A</v>
      </c>
      <c r="AF30" s="445" t="e">
        <f t="shared" ca="1" si="10"/>
        <v>#N/A</v>
      </c>
      <c r="AG30" s="445" t="e">
        <f t="shared" ca="1" si="10"/>
        <v>#N/A</v>
      </c>
      <c r="AH30" s="445" t="e">
        <f t="shared" ca="1" si="10"/>
        <v>#N/A</v>
      </c>
      <c r="AI30" s="445" t="e">
        <f t="shared" ca="1" si="10"/>
        <v>#N/A</v>
      </c>
      <c r="AJ30" s="445" t="e">
        <f t="shared" ca="1" si="10"/>
        <v>#N/A</v>
      </c>
      <c r="AK30" s="445" t="e">
        <f t="shared" ca="1" si="10"/>
        <v>#N/A</v>
      </c>
      <c r="AL30" s="445" t="e">
        <f t="shared" ca="1" si="10"/>
        <v>#N/A</v>
      </c>
      <c r="AM30" s="445" t="e">
        <f t="shared" ca="1" si="10"/>
        <v>#N/A</v>
      </c>
      <c r="AN30" s="445" t="e">
        <f t="shared" ca="1" si="10"/>
        <v>#N/A</v>
      </c>
      <c r="AO30" s="445" t="e">
        <f t="shared" ca="1" si="10"/>
        <v>#N/A</v>
      </c>
      <c r="AP30" s="445" t="e">
        <f t="shared" ca="1" si="10"/>
        <v>#N/A</v>
      </c>
      <c r="AQ30" s="445" t="e">
        <f t="shared" ca="1" si="10"/>
        <v>#N/A</v>
      </c>
      <c r="AR30" s="445" t="e">
        <f t="shared" ca="1" si="10"/>
        <v>#N/A</v>
      </c>
      <c r="AS30" s="445" t="e">
        <f t="shared" ca="1" si="10"/>
        <v>#N/A</v>
      </c>
      <c r="AT30" s="445" t="e">
        <f t="shared" ref="AT30:BE30" ca="1" si="11">IF(AT28=0,0,1)</f>
        <v>#N/A</v>
      </c>
      <c r="AU30" s="445" t="e">
        <f t="shared" ca="1" si="11"/>
        <v>#N/A</v>
      </c>
      <c r="AV30" s="445" t="e">
        <f t="shared" ca="1" si="11"/>
        <v>#N/A</v>
      </c>
      <c r="AW30" s="445" t="e">
        <f t="shared" ca="1" si="11"/>
        <v>#N/A</v>
      </c>
      <c r="AX30" s="445" t="e">
        <f t="shared" ca="1" si="11"/>
        <v>#N/A</v>
      </c>
      <c r="AY30" s="445" t="e">
        <f t="shared" ca="1" si="11"/>
        <v>#N/A</v>
      </c>
      <c r="AZ30" s="445" t="e">
        <f t="shared" ca="1" si="11"/>
        <v>#N/A</v>
      </c>
      <c r="BA30" s="445" t="e">
        <f t="shared" ca="1" si="11"/>
        <v>#N/A</v>
      </c>
      <c r="BB30" s="445" t="e">
        <f t="shared" ca="1" si="11"/>
        <v>#N/A</v>
      </c>
      <c r="BC30" s="445" t="e">
        <f t="shared" ca="1" si="11"/>
        <v>#N/A</v>
      </c>
      <c r="BD30" s="445" t="e">
        <f t="shared" ca="1" si="11"/>
        <v>#N/A</v>
      </c>
      <c r="BE30" s="445" t="e">
        <f t="shared" ca="1" si="11"/>
        <v>#N/A</v>
      </c>
      <c r="CI30" s="322"/>
      <c r="CJ30" s="323"/>
      <c r="CK30" s="323"/>
      <c r="CL30" s="323"/>
      <c r="CM30" s="323"/>
      <c r="CN30" s="323"/>
      <c r="CO30" s="323"/>
      <c r="CP30" s="323"/>
      <c r="CQ30" s="323"/>
      <c r="CR30" s="323"/>
      <c r="CS30" s="323"/>
      <c r="CT30" s="323"/>
      <c r="CU30" s="323"/>
      <c r="CV30" s="323"/>
      <c r="CW30" s="323"/>
      <c r="CX30" s="323"/>
      <c r="CY30" s="323"/>
      <c r="CZ30" s="323"/>
      <c r="DA30" s="323"/>
      <c r="DB30" s="323"/>
    </row>
    <row r="31" spans="1:110" ht="15.05" hidden="1" customHeight="1">
      <c r="BF31" s="366">
        <f>SUM(BF4:BF26)</f>
        <v>0</v>
      </c>
      <c r="BG31" s="366">
        <f t="shared" ref="BG31:BX31" si="12">SUM(BG4:BG26)</f>
        <v>0</v>
      </c>
      <c r="BH31" s="366">
        <f t="shared" si="12"/>
        <v>0</v>
      </c>
      <c r="BI31" s="366">
        <f t="shared" si="12"/>
        <v>0</v>
      </c>
      <c r="BJ31" s="366">
        <f t="shared" si="12"/>
        <v>0</v>
      </c>
      <c r="BK31" s="366">
        <f t="shared" si="12"/>
        <v>0</v>
      </c>
      <c r="BL31" s="366">
        <f t="shared" si="12"/>
        <v>0</v>
      </c>
      <c r="BM31" s="366">
        <f t="shared" si="12"/>
        <v>0</v>
      </c>
      <c r="BN31" s="366">
        <f t="shared" si="12"/>
        <v>0</v>
      </c>
      <c r="BO31" s="366">
        <f t="shared" si="12"/>
        <v>0</v>
      </c>
      <c r="BP31" s="366">
        <f t="shared" si="12"/>
        <v>0</v>
      </c>
      <c r="BQ31" s="366">
        <f t="shared" si="12"/>
        <v>0</v>
      </c>
      <c r="BR31" s="366">
        <f t="shared" si="12"/>
        <v>0</v>
      </c>
      <c r="BS31" s="366">
        <f t="shared" si="12"/>
        <v>0</v>
      </c>
      <c r="BT31" s="366">
        <f t="shared" si="12"/>
        <v>0</v>
      </c>
      <c r="BU31" s="366">
        <f t="shared" si="12"/>
        <v>0</v>
      </c>
      <c r="BV31" s="366">
        <f t="shared" si="12"/>
        <v>0</v>
      </c>
      <c r="BW31" s="366">
        <f t="shared" si="12"/>
        <v>0</v>
      </c>
      <c r="BX31" s="366">
        <f t="shared" si="12"/>
        <v>0</v>
      </c>
      <c r="BY31" s="366">
        <f>SUM(BY4:BY26)</f>
        <v>0</v>
      </c>
      <c r="CI31" s="322"/>
      <c r="CJ31" s="323"/>
      <c r="CK31" s="323"/>
      <c r="CL31" s="323"/>
      <c r="CM31" s="323"/>
      <c r="CN31" s="323"/>
      <c r="CO31" s="323"/>
      <c r="CP31" s="323"/>
      <c r="CQ31" s="323"/>
      <c r="CR31" s="323"/>
      <c r="CS31" s="323"/>
      <c r="CT31" s="323"/>
      <c r="CU31" s="323"/>
      <c r="CV31" s="323"/>
      <c r="CW31" s="323"/>
      <c r="CX31" s="323"/>
      <c r="CY31" s="323"/>
      <c r="CZ31" s="323"/>
      <c r="DA31" s="323"/>
      <c r="DB31" s="323"/>
    </row>
    <row r="32" spans="1:110" ht="20.3">
      <c r="B32" s="707" t="s">
        <v>855</v>
      </c>
      <c r="C32" s="707"/>
      <c r="D32" s="707"/>
      <c r="E32" s="707"/>
      <c r="F32" s="707"/>
      <c r="G32" s="707"/>
      <c r="H32" s="707"/>
      <c r="I32" s="707"/>
      <c r="J32" s="714">
        <f ca="1">+J1</f>
        <v>2026</v>
      </c>
      <c r="K32" s="715"/>
      <c r="L32" s="715"/>
      <c r="M32" s="715"/>
      <c r="N32" s="715"/>
      <c r="O32" s="715"/>
      <c r="P32" s="715"/>
      <c r="Q32" s="715"/>
      <c r="R32" s="715"/>
      <c r="S32" s="715"/>
      <c r="T32" s="715"/>
      <c r="U32" s="716"/>
      <c r="V32" s="714">
        <f ca="1">+J32+1</f>
        <v>2027</v>
      </c>
      <c r="W32" s="715"/>
      <c r="X32" s="715"/>
      <c r="Y32" s="715"/>
      <c r="Z32" s="715"/>
      <c r="AA32" s="715"/>
      <c r="AB32" s="715"/>
      <c r="AC32" s="715"/>
      <c r="AD32" s="715"/>
      <c r="AE32" s="715"/>
      <c r="AF32" s="715"/>
      <c r="AG32" s="716"/>
      <c r="AH32" s="714">
        <f ca="1">+V32+1</f>
        <v>2028</v>
      </c>
      <c r="AI32" s="715"/>
      <c r="AJ32" s="715"/>
      <c r="AK32" s="715"/>
      <c r="AL32" s="715"/>
      <c r="AM32" s="715"/>
      <c r="AN32" s="715"/>
      <c r="AO32" s="715"/>
      <c r="AP32" s="715"/>
      <c r="AQ32" s="715"/>
      <c r="AR32" s="715"/>
      <c r="AS32" s="716"/>
      <c r="AT32" s="714">
        <f ca="1">+AH32+1</f>
        <v>2029</v>
      </c>
      <c r="AU32" s="715"/>
      <c r="AV32" s="715"/>
      <c r="AW32" s="715"/>
      <c r="AX32" s="715"/>
      <c r="AY32" s="715"/>
      <c r="AZ32" s="715"/>
      <c r="BA32" s="715"/>
      <c r="BB32" s="715"/>
      <c r="BC32" s="715"/>
      <c r="BD32" s="715"/>
      <c r="BE32" s="716"/>
      <c r="BF32" s="708" t="str">
        <f>+BF1</f>
        <v>TASK LIST [Distribute Person*month from column I to the various tasks]</v>
      </c>
      <c r="BG32" s="708"/>
      <c r="BH32" s="708"/>
      <c r="BI32" s="708"/>
      <c r="BJ32" s="708"/>
      <c r="BK32" s="708"/>
      <c r="BL32" s="708"/>
      <c r="BM32" s="708"/>
      <c r="BN32" s="708"/>
      <c r="BO32" s="708"/>
      <c r="BP32" s="708"/>
      <c r="BQ32" s="708"/>
      <c r="BR32" s="708"/>
      <c r="BS32" s="708"/>
      <c r="BT32" s="708"/>
      <c r="BU32" s="708"/>
      <c r="BV32" s="708"/>
      <c r="BW32" s="708"/>
      <c r="BX32" s="708"/>
      <c r="BY32" s="708"/>
      <c r="CB32" s="710" t="s">
        <v>838</v>
      </c>
      <c r="CC32" s="710"/>
      <c r="CI32" s="708">
        <f>+CI1</f>
        <v>0</v>
      </c>
      <c r="CJ32" s="708"/>
      <c r="CK32" s="708"/>
      <c r="CL32" s="708"/>
      <c r="CM32" s="708"/>
      <c r="CN32" s="708"/>
      <c r="CO32" s="708"/>
      <c r="CP32" s="708"/>
      <c r="CQ32" s="708"/>
      <c r="CR32" s="708"/>
      <c r="CS32" s="708"/>
      <c r="CT32" s="708"/>
      <c r="CU32" s="708"/>
      <c r="CV32" s="708"/>
      <c r="CW32" s="708"/>
      <c r="CX32" s="708"/>
      <c r="CY32" s="708"/>
      <c r="CZ32" s="708"/>
      <c r="DA32" s="708"/>
      <c r="DB32" s="708"/>
      <c r="DC32" s="708" t="s">
        <v>942</v>
      </c>
      <c r="DD32" s="708"/>
      <c r="DE32" s="708"/>
      <c r="DF32" s="708"/>
    </row>
    <row r="33" spans="1:110">
      <c r="B33" s="298" t="s">
        <v>11</v>
      </c>
      <c r="C33" s="298" t="s">
        <v>854</v>
      </c>
      <c r="D33" s="298" t="s">
        <v>12</v>
      </c>
      <c r="E33" s="336" t="s">
        <v>707</v>
      </c>
      <c r="F33" s="298" t="s">
        <v>145</v>
      </c>
      <c r="G33" s="298" t="s">
        <v>847</v>
      </c>
      <c r="H33" s="298" t="s">
        <v>642</v>
      </c>
      <c r="I33" s="299" t="s">
        <v>857</v>
      </c>
      <c r="J33" s="300" t="s">
        <v>2</v>
      </c>
      <c r="K33" s="301" t="s">
        <v>3</v>
      </c>
      <c r="L33" s="301" t="s">
        <v>4</v>
      </c>
      <c r="M33" s="301" t="s">
        <v>5</v>
      </c>
      <c r="N33" s="301" t="s">
        <v>4</v>
      </c>
      <c r="O33" s="301" t="s">
        <v>2</v>
      </c>
      <c r="P33" s="301" t="s">
        <v>2</v>
      </c>
      <c r="Q33" s="301" t="s">
        <v>5</v>
      </c>
      <c r="R33" s="301" t="s">
        <v>6</v>
      </c>
      <c r="S33" s="301" t="s">
        <v>7</v>
      </c>
      <c r="T33" s="301" t="s">
        <v>8</v>
      </c>
      <c r="U33" s="302" t="s">
        <v>9</v>
      </c>
      <c r="V33" s="300" t="s">
        <v>2</v>
      </c>
      <c r="W33" s="301" t="s">
        <v>3</v>
      </c>
      <c r="X33" s="301" t="s">
        <v>4</v>
      </c>
      <c r="Y33" s="301" t="s">
        <v>5</v>
      </c>
      <c r="Z33" s="301" t="s">
        <v>4</v>
      </c>
      <c r="AA33" s="301" t="s">
        <v>2</v>
      </c>
      <c r="AB33" s="301" t="s">
        <v>2</v>
      </c>
      <c r="AC33" s="301" t="s">
        <v>5</v>
      </c>
      <c r="AD33" s="301" t="s">
        <v>6</v>
      </c>
      <c r="AE33" s="301" t="s">
        <v>7</v>
      </c>
      <c r="AF33" s="301" t="s">
        <v>8</v>
      </c>
      <c r="AG33" s="302" t="s">
        <v>9</v>
      </c>
      <c r="AH33" s="300" t="s">
        <v>2</v>
      </c>
      <c r="AI33" s="301" t="s">
        <v>3</v>
      </c>
      <c r="AJ33" s="301" t="s">
        <v>4</v>
      </c>
      <c r="AK33" s="301" t="s">
        <v>5</v>
      </c>
      <c r="AL33" s="301" t="s">
        <v>4</v>
      </c>
      <c r="AM33" s="301" t="s">
        <v>2</v>
      </c>
      <c r="AN33" s="301" t="s">
        <v>2</v>
      </c>
      <c r="AO33" s="301" t="s">
        <v>5</v>
      </c>
      <c r="AP33" s="301" t="s">
        <v>6</v>
      </c>
      <c r="AQ33" s="301" t="s">
        <v>7</v>
      </c>
      <c r="AR33" s="301" t="s">
        <v>8</v>
      </c>
      <c r="AS33" s="302" t="s">
        <v>9</v>
      </c>
      <c r="AT33" s="300" t="s">
        <v>2</v>
      </c>
      <c r="AU33" s="301" t="s">
        <v>3</v>
      </c>
      <c r="AV33" s="301" t="s">
        <v>4</v>
      </c>
      <c r="AW33" s="301" t="s">
        <v>5</v>
      </c>
      <c r="AX33" s="301" t="s">
        <v>4</v>
      </c>
      <c r="AY33" s="301" t="s">
        <v>2</v>
      </c>
      <c r="AZ33" s="301" t="s">
        <v>2</v>
      </c>
      <c r="BA33" s="301" t="s">
        <v>5</v>
      </c>
      <c r="BB33" s="301" t="s">
        <v>6</v>
      </c>
      <c r="BC33" s="301" t="s">
        <v>7</v>
      </c>
      <c r="BD33" s="301" t="s">
        <v>8</v>
      </c>
      <c r="BE33" s="302" t="s">
        <v>9</v>
      </c>
      <c r="BF33" s="303" t="str">
        <f>+BF2</f>
        <v>S/T</v>
      </c>
      <c r="BG33" s="303" t="str">
        <f t="shared" ref="BG33:BY33" si="13">+BG2</f>
        <v>S/T</v>
      </c>
      <c r="BH33" s="303" t="str">
        <f t="shared" si="13"/>
        <v>S/T</v>
      </c>
      <c r="BI33" s="303" t="str">
        <f t="shared" si="13"/>
        <v>S/T</v>
      </c>
      <c r="BJ33" s="303" t="str">
        <f t="shared" si="13"/>
        <v>S/T</v>
      </c>
      <c r="BK33" s="303" t="str">
        <f t="shared" si="13"/>
        <v>S/T</v>
      </c>
      <c r="BL33" s="303" t="str">
        <f t="shared" si="13"/>
        <v>S/T</v>
      </c>
      <c r="BM33" s="303" t="str">
        <f t="shared" si="13"/>
        <v>S/T</v>
      </c>
      <c r="BN33" s="303" t="str">
        <f t="shared" si="13"/>
        <v>S/T</v>
      </c>
      <c r="BO33" s="303" t="str">
        <f t="shared" si="13"/>
        <v>S/T</v>
      </c>
      <c r="BP33" s="303" t="str">
        <f t="shared" si="13"/>
        <v>S/T</v>
      </c>
      <c r="BQ33" s="303" t="str">
        <f t="shared" si="13"/>
        <v>S/T</v>
      </c>
      <c r="BR33" s="303" t="str">
        <f t="shared" si="13"/>
        <v>S/T</v>
      </c>
      <c r="BS33" s="303" t="str">
        <f t="shared" si="13"/>
        <v>S/T</v>
      </c>
      <c r="BT33" s="303" t="str">
        <f t="shared" si="13"/>
        <v>S/T</v>
      </c>
      <c r="BU33" s="303" t="str">
        <f t="shared" si="13"/>
        <v>S/T</v>
      </c>
      <c r="BV33" s="303" t="str">
        <f t="shared" si="13"/>
        <v>S/T</v>
      </c>
      <c r="BW33" s="303" t="str">
        <f t="shared" si="13"/>
        <v>S/T</v>
      </c>
      <c r="BX33" s="303" t="str">
        <f t="shared" si="13"/>
        <v>S/T</v>
      </c>
      <c r="BY33" s="303" t="str">
        <f t="shared" si="13"/>
        <v>S/T</v>
      </c>
      <c r="BZ33" s="301" t="s">
        <v>841</v>
      </c>
      <c r="CA33" s="301" t="s">
        <v>729</v>
      </c>
      <c r="CB33" s="337" t="s">
        <v>839</v>
      </c>
      <c r="CC33" s="337" t="s">
        <v>840</v>
      </c>
      <c r="CE33" s="169" t="s">
        <v>908</v>
      </c>
      <c r="CI33" s="303" t="str">
        <f>+BF33</f>
        <v>S/T</v>
      </c>
      <c r="CJ33" s="303" t="str">
        <f t="shared" ref="CJ33:DB33" si="14">+BG33</f>
        <v>S/T</v>
      </c>
      <c r="CK33" s="303" t="str">
        <f t="shared" si="14"/>
        <v>S/T</v>
      </c>
      <c r="CL33" s="303" t="str">
        <f t="shared" si="14"/>
        <v>S/T</v>
      </c>
      <c r="CM33" s="303" t="str">
        <f t="shared" si="14"/>
        <v>S/T</v>
      </c>
      <c r="CN33" s="303" t="str">
        <f t="shared" si="14"/>
        <v>S/T</v>
      </c>
      <c r="CO33" s="303" t="str">
        <f t="shared" si="14"/>
        <v>S/T</v>
      </c>
      <c r="CP33" s="303" t="str">
        <f t="shared" si="14"/>
        <v>S/T</v>
      </c>
      <c r="CQ33" s="303" t="str">
        <f t="shared" si="14"/>
        <v>S/T</v>
      </c>
      <c r="CR33" s="303" t="str">
        <f t="shared" si="14"/>
        <v>S/T</v>
      </c>
      <c r="CS33" s="303" t="str">
        <f t="shared" si="14"/>
        <v>S/T</v>
      </c>
      <c r="CT33" s="303" t="str">
        <f t="shared" si="14"/>
        <v>S/T</v>
      </c>
      <c r="CU33" s="303" t="str">
        <f t="shared" si="14"/>
        <v>S/T</v>
      </c>
      <c r="CV33" s="303" t="str">
        <f t="shared" si="14"/>
        <v>S/T</v>
      </c>
      <c r="CW33" s="303" t="str">
        <f t="shared" si="14"/>
        <v>S/T</v>
      </c>
      <c r="CX33" s="303" t="str">
        <f t="shared" si="14"/>
        <v>S/T</v>
      </c>
      <c r="CY33" s="303" t="str">
        <f t="shared" si="14"/>
        <v>S/T</v>
      </c>
      <c r="CZ33" s="303" t="str">
        <f t="shared" si="14"/>
        <v>S/T</v>
      </c>
      <c r="DA33" s="303" t="str">
        <f t="shared" si="14"/>
        <v>S/T</v>
      </c>
      <c r="DB33" s="303" t="str">
        <f t="shared" si="14"/>
        <v>S/T</v>
      </c>
      <c r="DC33" s="303">
        <f ca="1">+J1</f>
        <v>2026</v>
      </c>
      <c r="DD33" s="303">
        <f ca="1">+V1</f>
        <v>2027</v>
      </c>
      <c r="DE33" s="303">
        <f ca="1">+AH1</f>
        <v>2028</v>
      </c>
      <c r="DF33" s="303">
        <f ca="1">+AT1</f>
        <v>2029</v>
      </c>
    </row>
    <row r="34" spans="1:110">
      <c r="A34" s="169" t="s">
        <v>72</v>
      </c>
      <c r="B34" s="314" t="s">
        <v>694</v>
      </c>
      <c r="C34" s="315"/>
      <c r="D34" s="315"/>
      <c r="E34" s="315"/>
      <c r="F34" s="338" t="str">
        <f>IF(D34="","NA",VLOOKUP(D34,'4.1'!$B$16:$F$57,5,FALSE))</f>
        <v>NA</v>
      </c>
      <c r="G34" s="326"/>
      <c r="H34" s="315"/>
      <c r="I34" s="318">
        <f>ROUNDUP((H34),2)</f>
        <v>0</v>
      </c>
      <c r="J34" s="319">
        <f ca="1">IF(G34="",0,IF($G34=J$29,1,0))*J$30</f>
        <v>0</v>
      </c>
      <c r="K34" s="320">
        <f t="shared" ref="K34:K38" ca="1" si="15">(IF(G34=K$28,1,IF((G34+H34)&lt;3,0,IF(G34&gt;K$28,0,1))))*K$30</f>
        <v>0</v>
      </c>
      <c r="L34" s="320" t="e">
        <f ca="1">(IF(SUM($J34:K34)&gt;($H34-1),0,IF($G34=L$28,1,IF(SUM($J34:K34)=0,0,1))))*L$30</f>
        <v>#N/A</v>
      </c>
      <c r="M34" s="320" t="e">
        <f ca="1">(IF(SUM($J34:L34)&gt;($H34-1),0,IF($G34=M$28,1,IF(SUM($J34:L34)=0,0,1))))*M$30</f>
        <v>#N/A</v>
      </c>
      <c r="N34" s="320" t="e">
        <f ca="1">(IF(SUM($J34:M34)&gt;($H34-1),0,IF($G34=N$28,1,IF(SUM($J34:M34)=0,0,1))))*N$30</f>
        <v>#N/A</v>
      </c>
      <c r="O34" s="320" t="e">
        <f ca="1">(IF(SUM($J34:N34)&gt;($H34-1),0,IF($G34=O$28,1,IF(SUM($J34:N34)=0,0,1))))*O$30</f>
        <v>#N/A</v>
      </c>
      <c r="P34" s="320" t="e">
        <f ca="1">(IF(SUM($J34:O34)&gt;($H34-1),0,IF($G34=P$28,1,IF(SUM($J34:O34)=0,0,1))))*P$30</f>
        <v>#N/A</v>
      </c>
      <c r="Q34" s="320" t="e">
        <f ca="1">(IF(SUM($J34:P34)&gt;($H34-1),0,IF($G34=Q$28,1,IF(SUM($J34:P34)=0,0,1))))*Q$30</f>
        <v>#N/A</v>
      </c>
      <c r="R34" s="320" t="e">
        <f ca="1">(IF(SUM($J34:Q34)&gt;($H34-1),0,IF($G34=R$28,1,IF(SUM($J34:Q34)=0,0,1))))*R$30</f>
        <v>#N/A</v>
      </c>
      <c r="S34" s="320" t="e">
        <f ca="1">(IF(SUM($J34:R34)&gt;($H34-1),0,IF($G34=S$28,1,IF(SUM($J34:R34)=0,0,1))))*S$30</f>
        <v>#N/A</v>
      </c>
      <c r="T34" s="320" t="e">
        <f ca="1">(IF(SUM($J34:S34)&gt;($H34-1),0,IF($G34=T$28,1,IF(SUM($J34:S34)=0,0,1))))*T$30</f>
        <v>#N/A</v>
      </c>
      <c r="U34" s="321" t="e">
        <f ca="1">(IF(SUM($J34:T34)&gt;($H34-1),0,IF($G34=U$28,1,IF(SUM($J34:T34)=0,0,1))))*U$30</f>
        <v>#N/A</v>
      </c>
      <c r="V34" s="319" t="e">
        <f ca="1">(IF(SUM($J34:U34)&gt;($H34-1),0,IF($G34=V$28,1,IF(SUM($J34:U34)=0,0,1))))*V$30</f>
        <v>#N/A</v>
      </c>
      <c r="W34" s="320" t="e">
        <f ca="1">(IF(SUM($J34:V34)&gt;($H34-1),0,IF($G34=W$28,1,IF(SUM($J34:V34)=0,0,1))))*W$30</f>
        <v>#N/A</v>
      </c>
      <c r="X34" s="320" t="e">
        <f ca="1">(IF(SUM($J34:W34)&gt;($H34-1),0,IF($G34=X$28,1,IF(SUM($J34:W34)=0,0,1))))*X$30</f>
        <v>#N/A</v>
      </c>
      <c r="Y34" s="320" t="e">
        <f ca="1">(IF(SUM($J34:X34)&gt;($H34-1),0,IF($G34=Y$28,1,IF(SUM($J34:X34)=0,0,1))))*Y$30</f>
        <v>#N/A</v>
      </c>
      <c r="Z34" s="320" t="e">
        <f ca="1">(IF(SUM($J34:Y34)&gt;($H34-1),0,IF($G34=Z$28,1,IF(SUM($J34:Y34)=0,0,1))))*Z$30</f>
        <v>#N/A</v>
      </c>
      <c r="AA34" s="320" t="e">
        <f ca="1">(IF(SUM($J34:Z34)&gt;($H34-1),0,IF($G34=AA$28,1,IF(SUM($J34:Z34)=0,0,1))))*AA$30</f>
        <v>#N/A</v>
      </c>
      <c r="AB34" s="320" t="e">
        <f ca="1">(IF(SUM($J34:AA34)&gt;($H34-1),0,IF($G34=AB$28,1,IF(SUM($J34:AA34)=0,0,1))))*AB$30</f>
        <v>#N/A</v>
      </c>
      <c r="AC34" s="320" t="e">
        <f ca="1">(IF(SUM($J34:AB34)&gt;($H34-1),0,IF($G34=AC$28,1,IF(SUM($J34:AB34)=0,0,1))))*AC$30</f>
        <v>#N/A</v>
      </c>
      <c r="AD34" s="320" t="e">
        <f ca="1">(IF(SUM($J34:AC34)&gt;($H34-1),0,IF($G34=AD$28,1,IF(SUM($J34:AC34)=0,0,1))))*AD$30</f>
        <v>#N/A</v>
      </c>
      <c r="AE34" s="320" t="e">
        <f ca="1">(IF(SUM($J34:AD34)&gt;($H34-1),0,IF($G34=AE$28,1,IF(SUM($J34:AD34)=0,0,1))))*AE$30</f>
        <v>#N/A</v>
      </c>
      <c r="AF34" s="320" t="e">
        <f ca="1">(IF(SUM($J34:AE34)&gt;($H34-1),0,IF($G34=AF$28,1,IF(SUM($J34:AE34)=0,0,1))))*AF$30</f>
        <v>#N/A</v>
      </c>
      <c r="AG34" s="321" t="e">
        <f ca="1">(IF(SUM($J34:AF34)&gt;($H34-1),0,IF($G34=AG$28,1,IF(SUM($J34:AF34)=0,0,1))))*AG$30</f>
        <v>#N/A</v>
      </c>
      <c r="AH34" s="319" t="e">
        <f ca="1">(IF(SUM($J34:AG34)&gt;($H34-1),0,IF($G34=AH$28,1,IF(SUM($J34:AG34)=0,0,1))))*AH$30</f>
        <v>#N/A</v>
      </c>
      <c r="AI34" s="320" t="e">
        <f ca="1">(IF(SUM($J34:AH34)&gt;($H34-1),0,IF($G34=AI$28,1,IF(SUM($J34:AH34)=0,0,1))))*AI$30</f>
        <v>#N/A</v>
      </c>
      <c r="AJ34" s="320" t="e">
        <f ca="1">(IF(SUM($J34:AI34)&gt;($H34-1),0,IF($G34=AJ$28,1,IF(SUM($J34:AI34)=0,0,1))))*AJ$30</f>
        <v>#N/A</v>
      </c>
      <c r="AK34" s="320" t="e">
        <f ca="1">(IF(SUM($J34:AJ34)&gt;($H34-1),0,IF($G34=AK$28,1,IF(SUM($J34:AJ34)=0,0,1))))*AK$30</f>
        <v>#N/A</v>
      </c>
      <c r="AL34" s="320" t="e">
        <f ca="1">(IF(SUM($J34:AK34)&gt;($H34-1),0,IF($G34=AL$28,1,IF(SUM($J34:AK34)=0,0,1))))*AL$30</f>
        <v>#N/A</v>
      </c>
      <c r="AM34" s="320" t="e">
        <f ca="1">(IF(SUM($J34:AL34)&gt;($H34-1),0,IF($G34=AM$28,1,IF(SUM($J34:AL34)=0,0,1))))*AM$30</f>
        <v>#N/A</v>
      </c>
      <c r="AN34" s="320" t="e">
        <f ca="1">(IF(SUM($J34:AM34)&gt;($H34-1),0,IF($G34=AN$28,1,IF(SUM($J34:AM34)=0,0,1))))*AN$30</f>
        <v>#N/A</v>
      </c>
      <c r="AO34" s="320" t="e">
        <f ca="1">(IF(SUM($J34:AN34)&gt;($H34-1),0,IF($G34=AO$28,1,IF(SUM($J34:AN34)=0,0,1))))*AO$30</f>
        <v>#N/A</v>
      </c>
      <c r="AP34" s="320" t="e">
        <f ca="1">(IF(SUM($J34:AO34)&gt;($H34-1),0,IF($G34=AP$28,1,IF(SUM($J34:AO34)=0,0,1))))*AP$30</f>
        <v>#N/A</v>
      </c>
      <c r="AQ34" s="320" t="e">
        <f ca="1">(IF(SUM($J34:AP34)&gt;($H34-1),0,IF($G34=AQ$28,1,IF(SUM($J34:AP34)=0,0,1))))*AQ$30</f>
        <v>#N/A</v>
      </c>
      <c r="AR34" s="320" t="e">
        <f ca="1">(IF(SUM($J34:AQ34)&gt;($H34-1),0,IF($G34=AR$28,1,IF(SUM($J34:AQ34)=0,0,1))))*AR$30</f>
        <v>#N/A</v>
      </c>
      <c r="AS34" s="321" t="e">
        <f ca="1">(IF(SUM($J34:AR34)&gt;($H34-1),0,IF($G34=AS$28,1,IF(SUM($J34:AR34)=0,0,1))))*AS$30</f>
        <v>#N/A</v>
      </c>
      <c r="AT34" s="319" t="e">
        <f ca="1">(IF(SUM($J34:AS34)&gt;($H34-1),0,IF($G34=AT$28,1,IF(SUM($J34:AS34)=0,0,1))))*AT$30</f>
        <v>#N/A</v>
      </c>
      <c r="AU34" s="320" t="e">
        <f ca="1">(IF(SUM($J34:AT34)&gt;($H34-1),0,IF($G34=AU$28,1,IF(SUM($J34:AT34)=0,0,1))))*AU$30</f>
        <v>#N/A</v>
      </c>
      <c r="AV34" s="320" t="e">
        <f ca="1">(IF(SUM($J34:AU34)&gt;($H34-1),0,IF($G34=AV$28,1,IF(SUM($J34:AU34)=0,0,1))))*AV$30</f>
        <v>#N/A</v>
      </c>
      <c r="AW34" s="320" t="e">
        <f ca="1">(IF(SUM($J34:AV34)&gt;($H34-1),0,IF($G34=AW$28,1,IF(SUM($J34:AV34)=0,0,1))))*AW$30</f>
        <v>#N/A</v>
      </c>
      <c r="AX34" s="320" t="e">
        <f ca="1">(IF(SUM($J34:AW34)&gt;($H34-1),0,IF($G34=AX$28,1,IF(SUM($J34:AW34)=0,0,1))))*AX$30</f>
        <v>#N/A</v>
      </c>
      <c r="AY34" s="320" t="e">
        <f ca="1">(IF(SUM($J34:AX34)&gt;($H34-1),0,IF($G34=AY$28,1,IF(SUM($J34:AX34)=0,0,1))))*AY$30</f>
        <v>#N/A</v>
      </c>
      <c r="AZ34" s="320" t="e">
        <f ca="1">(IF(SUM($J34:AY34)&gt;($H34-1),0,IF($G34=AZ$28,1,IF(SUM($J34:AY34)=0,0,1))))*AZ$30</f>
        <v>#N/A</v>
      </c>
      <c r="BA34" s="320" t="e">
        <f ca="1">(IF(SUM($J34:AZ34)&gt;($H34-1),0,IF($G34=BA$28,1,IF(SUM($J34:AZ34)=0,0,1))))*BA$30</f>
        <v>#N/A</v>
      </c>
      <c r="BB34" s="320" t="e">
        <f ca="1">(IF(SUM($J34:BA34)&gt;($H34-1),0,IF($G34=BB$28,1,IF(SUM($J34:BA34)=0,0,1))))*BB$30</f>
        <v>#N/A</v>
      </c>
      <c r="BC34" s="320" t="e">
        <f ca="1">(IF(SUM($J34:BB34)&gt;($H34-1),0,IF($G34=BC$28,1,IF(SUM($J34:BB34)=0,0,1))))*BC$30</f>
        <v>#N/A</v>
      </c>
      <c r="BD34" s="320" t="e">
        <f ca="1">(IF(SUM($J34:BC34)&gt;($H34-1),0,IF($G34=BD$28,1,IF(SUM($J34:BC34)=0,0,1))))*BD$30</f>
        <v>#N/A</v>
      </c>
      <c r="BE34" s="321" t="e">
        <f ca="1">(IF(SUM($J34:BD34)&gt;($H34-1),0,IF($G34=BE$28,1,IF(SUM($J34:BD34)=0,0,1))))*BE$30</f>
        <v>#N/A</v>
      </c>
      <c r="BF34" s="322"/>
      <c r="BG34" s="323"/>
      <c r="BH34" s="323"/>
      <c r="BI34" s="323"/>
      <c r="BJ34" s="323"/>
      <c r="BK34" s="323"/>
      <c r="BL34" s="323"/>
      <c r="BM34" s="323"/>
      <c r="BN34" s="323"/>
      <c r="BO34" s="323"/>
      <c r="BP34" s="323"/>
      <c r="BQ34" s="323"/>
      <c r="BR34" s="323"/>
      <c r="BS34" s="323"/>
      <c r="BT34" s="323"/>
      <c r="BU34" s="323"/>
      <c r="BV34" s="323"/>
      <c r="BW34" s="323"/>
      <c r="BX34" s="323"/>
      <c r="BY34" s="323"/>
      <c r="BZ34" s="324">
        <f>I34-(SUM(BF34:BY34))</f>
        <v>0</v>
      </c>
      <c r="CA34" s="325" t="str">
        <f>IF(BZ34=0,"","Alert: FTE sum differs from the value indicated in column I")</f>
        <v/>
      </c>
      <c r="CB34" s="339" t="e">
        <f ca="1">SUM(DC34:DF34)</f>
        <v>#N/A</v>
      </c>
      <c r="CC34" s="339" t="e">
        <f ca="1">ROUNDUP(('4.1'!AN5),0)</f>
        <v>#N/A</v>
      </c>
      <c r="CE34" s="443">
        <f>IF(G34="",'1.G.Data'!$C$14,('1.G.Data'!$C$14-'4.Team'!G34+1))</f>
        <v>0</v>
      </c>
      <c r="CG34" s="169" t="str">
        <f>+'2.Inst.'!B3</f>
        <v/>
      </c>
      <c r="CH34" s="169" t="str">
        <f>+B34</f>
        <v>Contract 1</v>
      </c>
      <c r="CI34" s="322">
        <f ca="1">IFERROR($CB34/$I34*BF34,0)</f>
        <v>0</v>
      </c>
      <c r="CJ34" s="322">
        <f t="shared" ref="CJ34:DB34" ca="1" si="16">IFERROR($CB34/$I34*BG34,0)</f>
        <v>0</v>
      </c>
      <c r="CK34" s="322">
        <f t="shared" ca="1" si="16"/>
        <v>0</v>
      </c>
      <c r="CL34" s="322">
        <f t="shared" ca="1" si="16"/>
        <v>0</v>
      </c>
      <c r="CM34" s="322">
        <f t="shared" ca="1" si="16"/>
        <v>0</v>
      </c>
      <c r="CN34" s="322">
        <f t="shared" ca="1" si="16"/>
        <v>0</v>
      </c>
      <c r="CO34" s="322">
        <f t="shared" ca="1" si="16"/>
        <v>0</v>
      </c>
      <c r="CP34" s="322">
        <f t="shared" ca="1" si="16"/>
        <v>0</v>
      </c>
      <c r="CQ34" s="322">
        <f t="shared" ca="1" si="16"/>
        <v>0</v>
      </c>
      <c r="CR34" s="322">
        <f t="shared" ca="1" si="16"/>
        <v>0</v>
      </c>
      <c r="CS34" s="322">
        <f t="shared" ca="1" si="16"/>
        <v>0</v>
      </c>
      <c r="CT34" s="322">
        <f t="shared" ca="1" si="16"/>
        <v>0</v>
      </c>
      <c r="CU34" s="322">
        <f t="shared" ca="1" si="16"/>
        <v>0</v>
      </c>
      <c r="CV34" s="322">
        <f t="shared" ca="1" si="16"/>
        <v>0</v>
      </c>
      <c r="CW34" s="322">
        <f t="shared" ca="1" si="16"/>
        <v>0</v>
      </c>
      <c r="CX34" s="322">
        <f t="shared" ca="1" si="16"/>
        <v>0</v>
      </c>
      <c r="CY34" s="322">
        <f t="shared" ca="1" si="16"/>
        <v>0</v>
      </c>
      <c r="CZ34" s="322">
        <f t="shared" ca="1" si="16"/>
        <v>0</v>
      </c>
      <c r="DA34" s="322">
        <f t="shared" ca="1" si="16"/>
        <v>0</v>
      </c>
      <c r="DB34" s="322">
        <f t="shared" ca="1" si="16"/>
        <v>0</v>
      </c>
      <c r="DC34" s="339" t="e">
        <f ca="1">ROUNDUP('4.1'!K5,0)</f>
        <v>#N/A</v>
      </c>
      <c r="DD34" s="339" t="e">
        <f ca="1">ROUNDUP('4.1'!T5,0)</f>
        <v>#N/A</v>
      </c>
      <c r="DE34" s="339" t="e">
        <f ca="1">ROUNDUP('4.1'!AC5,0)</f>
        <v>#N/A</v>
      </c>
      <c r="DF34" s="339" t="e">
        <f ca="1">ROUNDUP('4.1'!AL5,0)</f>
        <v>#N/A</v>
      </c>
    </row>
    <row r="35" spans="1:110">
      <c r="A35" s="169" t="s">
        <v>73</v>
      </c>
      <c r="B35" s="314" t="s">
        <v>695</v>
      </c>
      <c r="C35" s="315"/>
      <c r="D35" s="315"/>
      <c r="E35" s="315"/>
      <c r="F35" s="338" t="str">
        <f>IF(D35="","NA",VLOOKUP(D35,'4.1'!$B$16:$F$57,5,FALSE))</f>
        <v>NA</v>
      </c>
      <c r="G35" s="326"/>
      <c r="H35" s="315"/>
      <c r="I35" s="318">
        <f t="shared" ref="I35:I38" si="17">ROUNDUP((H35),2)</f>
        <v>0</v>
      </c>
      <c r="J35" s="319">
        <f t="shared" ref="J35:J38" ca="1" si="18">IF(G35="",0,IF($G35=J$29,1,0))*J$30</f>
        <v>0</v>
      </c>
      <c r="K35" s="320">
        <f t="shared" ca="1" si="15"/>
        <v>0</v>
      </c>
      <c r="L35" s="320" t="e">
        <f ca="1">(IF(SUM($J35:K35)&gt;($H35-1),0,IF($G35=L$28,1,IF(SUM($J35:K35)=0,0,1))))*L$30</f>
        <v>#N/A</v>
      </c>
      <c r="M35" s="320" t="e">
        <f ca="1">(IF(SUM($J35:L35)&gt;($H35-1),0,IF($G35=M$28,1,IF(SUM($J35:L35)=0,0,1))))*M$30</f>
        <v>#N/A</v>
      </c>
      <c r="N35" s="320" t="e">
        <f ca="1">(IF(SUM($J35:M35)&gt;($H35-1),0,IF($G35=N$28,1,IF(SUM($J35:M35)=0,0,1))))*N$30</f>
        <v>#N/A</v>
      </c>
      <c r="O35" s="320" t="e">
        <f ca="1">(IF(SUM($J35:N35)&gt;($H35-1),0,IF($G35=O$28,1,IF(SUM($J35:N35)=0,0,1))))*O$30</f>
        <v>#N/A</v>
      </c>
      <c r="P35" s="320" t="e">
        <f ca="1">(IF(SUM($J35:O35)&gt;($H35-1),0,IF($G35=P$28,1,IF(SUM($J35:O35)=0,0,1))))*P$30</f>
        <v>#N/A</v>
      </c>
      <c r="Q35" s="320" t="e">
        <f ca="1">(IF(SUM($J35:P35)&gt;($H35-1),0,IF($G35=Q$28,1,IF(SUM($J35:P35)=0,0,1))))*Q$30</f>
        <v>#N/A</v>
      </c>
      <c r="R35" s="320" t="e">
        <f ca="1">(IF(SUM($J35:Q35)&gt;($H35-1),0,IF($G35=R$28,1,IF(SUM($J35:Q35)=0,0,1))))*R$30</f>
        <v>#N/A</v>
      </c>
      <c r="S35" s="320" t="e">
        <f ca="1">(IF(SUM($J35:R35)&gt;($H35-1),0,IF($G35=S$28,1,IF(SUM($J35:R35)=0,0,1))))*S$30</f>
        <v>#N/A</v>
      </c>
      <c r="T35" s="320" t="e">
        <f ca="1">(IF(SUM($J35:S35)&gt;($H35-1),0,IF($G35=T$28,1,IF(SUM($J35:S35)=0,0,1))))*T$30</f>
        <v>#N/A</v>
      </c>
      <c r="U35" s="321" t="e">
        <f ca="1">(IF(SUM($J35:T35)&gt;($H35-1),0,IF($G35=U$28,1,IF(SUM($J35:T35)=0,0,1))))*U$30</f>
        <v>#N/A</v>
      </c>
      <c r="V35" s="319" t="e">
        <f ca="1">(IF(SUM($J35:U35)&gt;($H35-1),0,IF($G35=V$28,1,IF(SUM($J35:U35)=0,0,1))))*V$30</f>
        <v>#N/A</v>
      </c>
      <c r="W35" s="320" t="e">
        <f ca="1">(IF(SUM($J35:V35)&gt;($H35-1),0,IF($G35=W$28,1,IF(SUM($J35:V35)=0,0,1))))*W$30</f>
        <v>#N/A</v>
      </c>
      <c r="X35" s="320" t="e">
        <f ca="1">(IF(SUM($J35:W35)&gt;($H35-1),0,IF($G35=X$28,1,IF(SUM($J35:W35)=0,0,1))))*X$30</f>
        <v>#N/A</v>
      </c>
      <c r="Y35" s="320" t="e">
        <f ca="1">(IF(SUM($J35:X35)&gt;($H35-1),0,IF($G35=Y$28,1,IF(SUM($J35:X35)=0,0,1))))*Y$30</f>
        <v>#N/A</v>
      </c>
      <c r="Z35" s="320" t="e">
        <f ca="1">(IF(SUM($J35:Y35)&gt;($H35-1),0,IF($G35=Z$28,1,IF(SUM($J35:Y35)=0,0,1))))*Z$30</f>
        <v>#N/A</v>
      </c>
      <c r="AA35" s="320" t="e">
        <f ca="1">(IF(SUM($J35:Z35)&gt;($H35-1),0,IF($G35=AA$28,1,IF(SUM($J35:Z35)=0,0,1))))*AA$30</f>
        <v>#N/A</v>
      </c>
      <c r="AB35" s="320" t="e">
        <f ca="1">(IF(SUM($J35:AA35)&gt;($H35-1),0,IF($G35=AB$28,1,IF(SUM($J35:AA35)=0,0,1))))*AB$30</f>
        <v>#N/A</v>
      </c>
      <c r="AC35" s="320" t="e">
        <f ca="1">(IF(SUM($J35:AB35)&gt;($H35-1),0,IF($G35=AC$28,1,IF(SUM($J35:AB35)=0,0,1))))*AC$30</f>
        <v>#N/A</v>
      </c>
      <c r="AD35" s="320" t="e">
        <f ca="1">(IF(SUM($J35:AC35)&gt;($H35-1),0,IF($G35=AD$28,1,IF(SUM($J35:AC35)=0,0,1))))*AD$30</f>
        <v>#N/A</v>
      </c>
      <c r="AE35" s="320" t="e">
        <f ca="1">(IF(SUM($J35:AD35)&gt;($H35-1),0,IF($G35=AE$28,1,IF(SUM($J35:AD35)=0,0,1))))*AE$30</f>
        <v>#N/A</v>
      </c>
      <c r="AF35" s="320" t="e">
        <f ca="1">(IF(SUM($J35:AE35)&gt;($H35-1),0,IF($G35=AF$28,1,IF(SUM($J35:AE35)=0,0,1))))*AF$30</f>
        <v>#N/A</v>
      </c>
      <c r="AG35" s="321" t="e">
        <f ca="1">(IF(SUM($J35:AF35)&gt;($H35-1),0,IF($G35=AG$28,1,IF(SUM($J35:AF35)=0,0,1))))*AG$30</f>
        <v>#N/A</v>
      </c>
      <c r="AH35" s="319" t="e">
        <f ca="1">(IF(SUM($J35:AG35)&gt;($H35-1),0,IF($G35=AH$28,1,IF(SUM($J35:AG35)=0,0,1))))*AH$30</f>
        <v>#N/A</v>
      </c>
      <c r="AI35" s="320" t="e">
        <f ca="1">(IF(SUM($J35:AH35)&gt;($H35-1),0,IF($G35=AI$28,1,IF(SUM($J35:AH35)=0,0,1))))*AI$30</f>
        <v>#N/A</v>
      </c>
      <c r="AJ35" s="320" t="e">
        <f ca="1">(IF(SUM($J35:AI35)&gt;($H35-1),0,IF($G35=AJ$28,1,IF(SUM($J35:AI35)=0,0,1))))*AJ$30</f>
        <v>#N/A</v>
      </c>
      <c r="AK35" s="320" t="e">
        <f ca="1">(IF(SUM($J35:AJ35)&gt;($H35-1),0,IF($G35=AK$28,1,IF(SUM($J35:AJ35)=0,0,1))))*AK$30</f>
        <v>#N/A</v>
      </c>
      <c r="AL35" s="320" t="e">
        <f ca="1">(IF(SUM($J35:AK35)&gt;($H35-1),0,IF($G35=AL$28,1,IF(SUM($J35:AK35)=0,0,1))))*AL$30</f>
        <v>#N/A</v>
      </c>
      <c r="AM35" s="320" t="e">
        <f ca="1">(IF(SUM($J35:AL35)&gt;($H35-1),0,IF($G35=AM$28,1,IF(SUM($J35:AL35)=0,0,1))))*AM$30</f>
        <v>#N/A</v>
      </c>
      <c r="AN35" s="320" t="e">
        <f ca="1">(IF(SUM($J35:AM35)&gt;($H35-1),0,IF($G35=AN$28,1,IF(SUM($J35:AM35)=0,0,1))))*AN$30</f>
        <v>#N/A</v>
      </c>
      <c r="AO35" s="320" t="e">
        <f ca="1">(IF(SUM($J35:AN35)&gt;($H35-1),0,IF($G35=AO$28,1,IF(SUM($J35:AN35)=0,0,1))))*AO$30</f>
        <v>#N/A</v>
      </c>
      <c r="AP35" s="320" t="e">
        <f ca="1">(IF(SUM($J35:AO35)&gt;($H35-1),0,IF($G35=AP$28,1,IF(SUM($J35:AO35)=0,0,1))))*AP$30</f>
        <v>#N/A</v>
      </c>
      <c r="AQ35" s="320" t="e">
        <f ca="1">(IF(SUM($J35:AP35)&gt;($H35-1),0,IF($G35=AQ$28,1,IF(SUM($J35:AP35)=0,0,1))))*AQ$30</f>
        <v>#N/A</v>
      </c>
      <c r="AR35" s="320" t="e">
        <f ca="1">(IF(SUM($J35:AQ35)&gt;($H35-1),0,IF($G35=AR$28,1,IF(SUM($J35:AQ35)=0,0,1))))*AR$30</f>
        <v>#N/A</v>
      </c>
      <c r="AS35" s="321" t="e">
        <f ca="1">(IF(SUM($J35:AR35)&gt;($H35-1),0,IF($G35=AS$28,1,IF(SUM($J35:AR35)=0,0,1))))*AS$30</f>
        <v>#N/A</v>
      </c>
      <c r="AT35" s="319" t="e">
        <f ca="1">(IF(SUM($J35:AS35)&gt;($H35-1),0,IF($G35=AT$28,1,IF(SUM($J35:AS35)=0,0,1))))*AT$30</f>
        <v>#N/A</v>
      </c>
      <c r="AU35" s="320" t="e">
        <f ca="1">(IF(SUM($J35:AT35)&gt;($H35-1),0,IF($G35=AU$28,1,IF(SUM($J35:AT35)=0,0,1))))*AU$30</f>
        <v>#N/A</v>
      </c>
      <c r="AV35" s="320" t="e">
        <f ca="1">(IF(SUM($J35:AU35)&gt;($H35-1),0,IF($G35=AV$28,1,IF(SUM($J35:AU35)=0,0,1))))*AV$30</f>
        <v>#N/A</v>
      </c>
      <c r="AW35" s="320" t="e">
        <f ca="1">(IF(SUM($J35:AV35)&gt;($H35-1),0,IF($G35=AW$28,1,IF(SUM($J35:AV35)=0,0,1))))*AW$30</f>
        <v>#N/A</v>
      </c>
      <c r="AX35" s="320" t="e">
        <f ca="1">(IF(SUM($J35:AW35)&gt;($H35-1),0,IF($G35=AX$28,1,IF(SUM($J35:AW35)=0,0,1))))*AX$30</f>
        <v>#N/A</v>
      </c>
      <c r="AY35" s="320" t="e">
        <f ca="1">(IF(SUM($J35:AX35)&gt;($H35-1),0,IF($G35=AY$28,1,IF(SUM($J35:AX35)=0,0,1))))*AY$30</f>
        <v>#N/A</v>
      </c>
      <c r="AZ35" s="320" t="e">
        <f ca="1">(IF(SUM($J35:AY35)&gt;($H35-1),0,IF($G35=AZ$28,1,IF(SUM($J35:AY35)=0,0,1))))*AZ$30</f>
        <v>#N/A</v>
      </c>
      <c r="BA35" s="320" t="e">
        <f ca="1">(IF(SUM($J35:AZ35)&gt;($H35-1),0,IF($G35=BA$28,1,IF(SUM($J35:AZ35)=0,0,1))))*BA$30</f>
        <v>#N/A</v>
      </c>
      <c r="BB35" s="320" t="e">
        <f ca="1">(IF(SUM($J35:BA35)&gt;($H35-1),0,IF($G35=BB$28,1,IF(SUM($J35:BA35)=0,0,1))))*BB$30</f>
        <v>#N/A</v>
      </c>
      <c r="BC35" s="320" t="e">
        <f ca="1">(IF(SUM($J35:BB35)&gt;($H35-1),0,IF($G35=BC$28,1,IF(SUM($J35:BB35)=0,0,1))))*BC$30</f>
        <v>#N/A</v>
      </c>
      <c r="BD35" s="320" t="e">
        <f ca="1">(IF(SUM($J35:BC35)&gt;($H35-1),0,IF($G35=BD$28,1,IF(SUM($J35:BC35)=0,0,1))))*BD$30</f>
        <v>#N/A</v>
      </c>
      <c r="BE35" s="321" t="e">
        <f ca="1">(IF(SUM($J35:BD35)&gt;($H35-1),0,IF($G35=BE$28,1,IF(SUM($J35:BD35)=0,0,1))))*BE$30</f>
        <v>#N/A</v>
      </c>
      <c r="BF35" s="322"/>
      <c r="BG35" s="323"/>
      <c r="BH35" s="323"/>
      <c r="BI35" s="323"/>
      <c r="BJ35" s="323"/>
      <c r="BK35" s="323"/>
      <c r="BL35" s="323"/>
      <c r="BM35" s="323"/>
      <c r="BN35" s="323"/>
      <c r="BO35" s="323"/>
      <c r="BP35" s="323"/>
      <c r="BQ35" s="323"/>
      <c r="BR35" s="323"/>
      <c r="BS35" s="323"/>
      <c r="BT35" s="323"/>
      <c r="BU35" s="323"/>
      <c r="BV35" s="323"/>
      <c r="BW35" s="323"/>
      <c r="BX35" s="323"/>
      <c r="BY35" s="323"/>
      <c r="BZ35" s="324">
        <f t="shared" ref="BZ35:BZ38" si="19">I35-(SUM(BF35:BY35))</f>
        <v>0</v>
      </c>
      <c r="CA35" s="325" t="str">
        <f>IF(BZ35=0,"","Alert: FTE sum differs from the value indicated in column I")</f>
        <v/>
      </c>
      <c r="CB35" s="339" t="e">
        <f t="shared" ref="CB35:CB38" ca="1" si="20">SUM(DC35:DF35)</f>
        <v>#N/A</v>
      </c>
      <c r="CC35" s="339" t="e">
        <f ca="1">ROUNDUP(('4.1'!AN6),0)</f>
        <v>#N/A</v>
      </c>
      <c r="CE35" s="443">
        <f>IF(G35="",'1.G.Data'!$C$14,('1.G.Data'!$C$14-'4.Team'!G35+1))</f>
        <v>0</v>
      </c>
      <c r="CG35" s="169" t="str">
        <f>+CG$34</f>
        <v/>
      </c>
      <c r="CH35" s="169" t="str">
        <f t="shared" ref="CH35:CH38" si="21">+B35</f>
        <v>Contract 2</v>
      </c>
      <c r="CI35" s="322">
        <f t="shared" ref="CI35:CI38" ca="1" si="22">IFERROR($CB35/$I35*BF35,0)</f>
        <v>0</v>
      </c>
      <c r="CJ35" s="322">
        <f t="shared" ref="CJ35:CJ38" ca="1" si="23">IFERROR($CB35/$I35*BG35,0)</f>
        <v>0</v>
      </c>
      <c r="CK35" s="322">
        <f t="shared" ref="CK35:CK38" ca="1" si="24">IFERROR($CB35/$I35*BH35,0)</f>
        <v>0</v>
      </c>
      <c r="CL35" s="322">
        <f t="shared" ref="CL35:CL38" ca="1" si="25">IFERROR($CB35/$I35*BI35,0)</f>
        <v>0</v>
      </c>
      <c r="CM35" s="322">
        <f t="shared" ref="CM35:CM38" ca="1" si="26">IFERROR($CB35/$I35*BJ35,0)</f>
        <v>0</v>
      </c>
      <c r="CN35" s="322">
        <f t="shared" ref="CN35:CN38" ca="1" si="27">IFERROR($CB35/$I35*BK35,0)</f>
        <v>0</v>
      </c>
      <c r="CO35" s="322">
        <f t="shared" ref="CO35:CO38" ca="1" si="28">IFERROR($CB35/$I35*BL35,0)</f>
        <v>0</v>
      </c>
      <c r="CP35" s="322">
        <f t="shared" ref="CP35:CP38" ca="1" si="29">IFERROR($CB35/$I35*BM35,0)</f>
        <v>0</v>
      </c>
      <c r="CQ35" s="322">
        <f t="shared" ref="CQ35:CQ38" ca="1" si="30">IFERROR($CB35/$I35*BN35,0)</f>
        <v>0</v>
      </c>
      <c r="CR35" s="322">
        <f t="shared" ref="CR35:CR38" ca="1" si="31">IFERROR($CB35/$I35*BO35,0)</f>
        <v>0</v>
      </c>
      <c r="CS35" s="322">
        <f t="shared" ref="CS35:CS38" ca="1" si="32">IFERROR($CB35/$I35*BP35,0)</f>
        <v>0</v>
      </c>
      <c r="CT35" s="322">
        <f t="shared" ref="CT35:CT38" ca="1" si="33">IFERROR($CB35/$I35*BQ35,0)</f>
        <v>0</v>
      </c>
      <c r="CU35" s="322">
        <f t="shared" ref="CU35:CU38" ca="1" si="34">IFERROR($CB35/$I35*BR35,0)</f>
        <v>0</v>
      </c>
      <c r="CV35" s="322">
        <f t="shared" ref="CV35:CV38" ca="1" si="35">IFERROR($CB35/$I35*BS35,0)</f>
        <v>0</v>
      </c>
      <c r="CW35" s="322">
        <f t="shared" ref="CW35:CW38" ca="1" si="36">IFERROR($CB35/$I35*BT35,0)</f>
        <v>0</v>
      </c>
      <c r="CX35" s="322">
        <f t="shared" ref="CX35:CX38" ca="1" si="37">IFERROR($CB35/$I35*BU35,0)</f>
        <v>0</v>
      </c>
      <c r="CY35" s="322">
        <f t="shared" ref="CY35:CY38" ca="1" si="38">IFERROR($CB35/$I35*BV35,0)</f>
        <v>0</v>
      </c>
      <c r="CZ35" s="322">
        <f t="shared" ref="CZ35:CZ38" ca="1" si="39">IFERROR($CB35/$I35*BW35,0)</f>
        <v>0</v>
      </c>
      <c r="DA35" s="322">
        <f t="shared" ref="DA35:DA38" ca="1" si="40">IFERROR($CB35/$I35*BX35,0)</f>
        <v>0</v>
      </c>
      <c r="DB35" s="322">
        <f t="shared" ref="DB35:DB38" ca="1" si="41">IFERROR($CB35/$I35*BY35,0)</f>
        <v>0</v>
      </c>
      <c r="DC35" s="339" t="e">
        <f ca="1">ROUNDUP('4.1'!K6,0)</f>
        <v>#N/A</v>
      </c>
      <c r="DD35" s="339" t="e">
        <f ca="1">ROUNDUP('4.1'!T6,0)</f>
        <v>#N/A</v>
      </c>
      <c r="DE35" s="339" t="e">
        <f ca="1">ROUNDUP('4.1'!AC6,0)</f>
        <v>#N/A</v>
      </c>
      <c r="DF35" s="339" t="e">
        <f ca="1">ROUNDUP('4.1'!AL6,0)</f>
        <v>#N/A</v>
      </c>
    </row>
    <row r="36" spans="1:110">
      <c r="A36" s="169" t="s">
        <v>291</v>
      </c>
      <c r="B36" s="314" t="s">
        <v>696</v>
      </c>
      <c r="C36" s="315"/>
      <c r="D36" s="315"/>
      <c r="E36" s="315"/>
      <c r="F36" s="338" t="str">
        <f>IF(D36="","NA",VLOOKUP(D36,'4.1'!$B$16:$F$57,5,FALSE))</f>
        <v>NA</v>
      </c>
      <c r="G36" s="326"/>
      <c r="H36" s="315"/>
      <c r="I36" s="318">
        <f t="shared" si="17"/>
        <v>0</v>
      </c>
      <c r="J36" s="319">
        <f t="shared" ca="1" si="18"/>
        <v>0</v>
      </c>
      <c r="K36" s="320">
        <f t="shared" ca="1" si="15"/>
        <v>0</v>
      </c>
      <c r="L36" s="320" t="e">
        <f ca="1">(IF(SUM($J36:K36)&gt;($H36-1),0,IF($G36=L$28,1,IF(SUM($J36:K36)=0,0,1))))*L$30</f>
        <v>#N/A</v>
      </c>
      <c r="M36" s="320" t="e">
        <f ca="1">(IF(SUM($J36:L36)&gt;($H36-1),0,IF($G36=M$28,1,IF(SUM($J36:L36)=0,0,1))))*M$30</f>
        <v>#N/A</v>
      </c>
      <c r="N36" s="320" t="e">
        <f ca="1">(IF(SUM($J36:M36)&gt;($H36-1),0,IF($G36=N$28,1,IF(SUM($J36:M36)=0,0,1))))*N$30</f>
        <v>#N/A</v>
      </c>
      <c r="O36" s="320" t="e">
        <f ca="1">(IF(SUM($J36:N36)&gt;($H36-1),0,IF($G36=O$28,1,IF(SUM($J36:N36)=0,0,1))))*O$30</f>
        <v>#N/A</v>
      </c>
      <c r="P36" s="320" t="e">
        <f ca="1">(IF(SUM($J36:O36)&gt;($H36-1),0,IF($G36=P$28,1,IF(SUM($J36:O36)=0,0,1))))*P$30</f>
        <v>#N/A</v>
      </c>
      <c r="Q36" s="320" t="e">
        <f ca="1">(IF(SUM($J36:P36)&gt;($H36-1),0,IF($G36=Q$28,1,IF(SUM($J36:P36)=0,0,1))))*Q$30</f>
        <v>#N/A</v>
      </c>
      <c r="R36" s="320" t="e">
        <f ca="1">(IF(SUM($J36:Q36)&gt;($H36-1),0,IF($G36=R$28,1,IF(SUM($J36:Q36)=0,0,1))))*R$30</f>
        <v>#N/A</v>
      </c>
      <c r="S36" s="320" t="e">
        <f ca="1">(IF(SUM($J36:R36)&gt;($H36-1),0,IF($G36=S$28,1,IF(SUM($J36:R36)=0,0,1))))*S$30</f>
        <v>#N/A</v>
      </c>
      <c r="T36" s="320" t="e">
        <f ca="1">(IF(SUM($J36:S36)&gt;($H36-1),0,IF($G36=T$28,1,IF(SUM($J36:S36)=0,0,1))))*T$30</f>
        <v>#N/A</v>
      </c>
      <c r="U36" s="321" t="e">
        <f ca="1">(IF(SUM($J36:T36)&gt;($H36-1),0,IF($G36=U$28,1,IF(SUM($J36:T36)=0,0,1))))*U$30</f>
        <v>#N/A</v>
      </c>
      <c r="V36" s="319" t="e">
        <f ca="1">(IF(SUM($J36:U36)&gt;($H36-1),0,IF($G36=V$28,1,IF(SUM($J36:U36)=0,0,1))))*V$30</f>
        <v>#N/A</v>
      </c>
      <c r="W36" s="320" t="e">
        <f ca="1">(IF(SUM($J36:V36)&gt;($H36-1),0,IF($G36=W$28,1,IF(SUM($J36:V36)=0,0,1))))*W$30</f>
        <v>#N/A</v>
      </c>
      <c r="X36" s="320" t="e">
        <f ca="1">(IF(SUM($J36:W36)&gt;($H36-1),0,IF($G36=X$28,1,IF(SUM($J36:W36)=0,0,1))))*X$30</f>
        <v>#N/A</v>
      </c>
      <c r="Y36" s="320" t="e">
        <f ca="1">(IF(SUM($J36:X36)&gt;($H36-1),0,IF($G36=Y$28,1,IF(SUM($J36:X36)=0,0,1))))*Y$30</f>
        <v>#N/A</v>
      </c>
      <c r="Z36" s="320" t="e">
        <f ca="1">(IF(SUM($J36:Y36)&gt;($H36-1),0,IF($G36=Z$28,1,IF(SUM($J36:Y36)=0,0,1))))*Z$30</f>
        <v>#N/A</v>
      </c>
      <c r="AA36" s="320" t="e">
        <f ca="1">(IF(SUM($J36:Z36)&gt;($H36-1),0,IF($G36=AA$28,1,IF(SUM($J36:Z36)=0,0,1))))*AA$30</f>
        <v>#N/A</v>
      </c>
      <c r="AB36" s="320" t="e">
        <f ca="1">(IF(SUM($J36:AA36)&gt;($H36-1),0,IF($G36=AB$28,1,IF(SUM($J36:AA36)=0,0,1))))*AB$30</f>
        <v>#N/A</v>
      </c>
      <c r="AC36" s="320" t="e">
        <f ca="1">(IF(SUM($J36:AB36)&gt;($H36-1),0,IF($G36=AC$28,1,IF(SUM($J36:AB36)=0,0,1))))*AC$30</f>
        <v>#N/A</v>
      </c>
      <c r="AD36" s="320" t="e">
        <f ca="1">(IF(SUM($J36:AC36)&gt;($H36-1),0,IF($G36=AD$28,1,IF(SUM($J36:AC36)=0,0,1))))*AD$30</f>
        <v>#N/A</v>
      </c>
      <c r="AE36" s="320" t="e">
        <f ca="1">(IF(SUM($J36:AD36)&gt;($H36-1),0,IF($G36=AE$28,1,IF(SUM($J36:AD36)=0,0,1))))*AE$30</f>
        <v>#N/A</v>
      </c>
      <c r="AF36" s="320" t="e">
        <f ca="1">(IF(SUM($J36:AE36)&gt;($H36-1),0,IF($G36=AF$28,1,IF(SUM($J36:AE36)=0,0,1))))*AF$30</f>
        <v>#N/A</v>
      </c>
      <c r="AG36" s="321" t="e">
        <f ca="1">(IF(SUM($J36:AF36)&gt;($H36-1),0,IF($G36=AG$28,1,IF(SUM($J36:AF36)=0,0,1))))*AG$30</f>
        <v>#N/A</v>
      </c>
      <c r="AH36" s="319" t="e">
        <f ca="1">(IF(SUM($J36:AG36)&gt;($H36-1),0,IF($G36=AH$28,1,IF(SUM($J36:AG36)=0,0,1))))*AH$30</f>
        <v>#N/A</v>
      </c>
      <c r="AI36" s="320" t="e">
        <f ca="1">(IF(SUM($J36:AH36)&gt;($H36-1),0,IF($G36=AI$28,1,IF(SUM($J36:AH36)=0,0,1))))*AI$30</f>
        <v>#N/A</v>
      </c>
      <c r="AJ36" s="320" t="e">
        <f ca="1">(IF(SUM($J36:AI36)&gt;($H36-1),0,IF($G36=AJ$28,1,IF(SUM($J36:AI36)=0,0,1))))*AJ$30</f>
        <v>#N/A</v>
      </c>
      <c r="AK36" s="320" t="e">
        <f ca="1">(IF(SUM($J36:AJ36)&gt;($H36-1),0,IF($G36=AK$28,1,IF(SUM($J36:AJ36)=0,0,1))))*AK$30</f>
        <v>#N/A</v>
      </c>
      <c r="AL36" s="320" t="e">
        <f ca="1">(IF(SUM($J36:AK36)&gt;($H36-1),0,IF($G36=AL$28,1,IF(SUM($J36:AK36)=0,0,1))))*AL$30</f>
        <v>#N/A</v>
      </c>
      <c r="AM36" s="320" t="e">
        <f ca="1">(IF(SUM($J36:AL36)&gt;($H36-1),0,IF($G36=AM$28,1,IF(SUM($J36:AL36)=0,0,1))))*AM$30</f>
        <v>#N/A</v>
      </c>
      <c r="AN36" s="320" t="e">
        <f ca="1">(IF(SUM($J36:AM36)&gt;($H36-1),0,IF($G36=AN$28,1,IF(SUM($J36:AM36)=0,0,1))))*AN$30</f>
        <v>#N/A</v>
      </c>
      <c r="AO36" s="320" t="e">
        <f ca="1">(IF(SUM($J36:AN36)&gt;($H36-1),0,IF($G36=AO$28,1,IF(SUM($J36:AN36)=0,0,1))))*AO$30</f>
        <v>#N/A</v>
      </c>
      <c r="AP36" s="320" t="e">
        <f ca="1">(IF(SUM($J36:AO36)&gt;($H36-1),0,IF($G36=AP$28,1,IF(SUM($J36:AO36)=0,0,1))))*AP$30</f>
        <v>#N/A</v>
      </c>
      <c r="AQ36" s="320" t="e">
        <f ca="1">(IF(SUM($J36:AP36)&gt;($H36-1),0,IF($G36=AQ$28,1,IF(SUM($J36:AP36)=0,0,1))))*AQ$30</f>
        <v>#N/A</v>
      </c>
      <c r="AR36" s="320" t="e">
        <f ca="1">(IF(SUM($J36:AQ36)&gt;($H36-1),0,IF($G36=AR$28,1,IF(SUM($J36:AQ36)=0,0,1))))*AR$30</f>
        <v>#N/A</v>
      </c>
      <c r="AS36" s="321" t="e">
        <f ca="1">(IF(SUM($J36:AR36)&gt;($H36-1),0,IF($G36=AS$28,1,IF(SUM($J36:AR36)=0,0,1))))*AS$30</f>
        <v>#N/A</v>
      </c>
      <c r="AT36" s="319" t="e">
        <f ca="1">(IF(SUM($J36:AS36)&gt;($H36-1),0,IF($G36=AT$28,1,IF(SUM($J36:AS36)=0,0,1))))*AT$30</f>
        <v>#N/A</v>
      </c>
      <c r="AU36" s="320" t="e">
        <f ca="1">(IF(SUM($J36:AT36)&gt;($H36-1),0,IF($G36=AU$28,1,IF(SUM($J36:AT36)=0,0,1))))*AU$30</f>
        <v>#N/A</v>
      </c>
      <c r="AV36" s="320" t="e">
        <f ca="1">(IF(SUM($J36:AU36)&gt;($H36-1),0,IF($G36=AV$28,1,IF(SUM($J36:AU36)=0,0,1))))*AV$30</f>
        <v>#N/A</v>
      </c>
      <c r="AW36" s="320" t="e">
        <f ca="1">(IF(SUM($J36:AV36)&gt;($H36-1),0,IF($G36=AW$28,1,IF(SUM($J36:AV36)=0,0,1))))*AW$30</f>
        <v>#N/A</v>
      </c>
      <c r="AX36" s="320" t="e">
        <f ca="1">(IF(SUM($J36:AW36)&gt;($H36-1),0,IF($G36=AX$28,1,IF(SUM($J36:AW36)=0,0,1))))*AX$30</f>
        <v>#N/A</v>
      </c>
      <c r="AY36" s="320" t="e">
        <f ca="1">(IF(SUM($J36:AX36)&gt;($H36-1),0,IF($G36=AY$28,1,IF(SUM($J36:AX36)=0,0,1))))*AY$30</f>
        <v>#N/A</v>
      </c>
      <c r="AZ36" s="320" t="e">
        <f ca="1">(IF(SUM($J36:AY36)&gt;($H36-1),0,IF($G36=AZ$28,1,IF(SUM($J36:AY36)=0,0,1))))*AZ$30</f>
        <v>#N/A</v>
      </c>
      <c r="BA36" s="320" t="e">
        <f ca="1">(IF(SUM($J36:AZ36)&gt;($H36-1),0,IF($G36=BA$28,1,IF(SUM($J36:AZ36)=0,0,1))))*BA$30</f>
        <v>#N/A</v>
      </c>
      <c r="BB36" s="320" t="e">
        <f ca="1">(IF(SUM($J36:BA36)&gt;($H36-1),0,IF($G36=BB$28,1,IF(SUM($J36:BA36)=0,0,1))))*BB$30</f>
        <v>#N/A</v>
      </c>
      <c r="BC36" s="320" t="e">
        <f ca="1">(IF(SUM($J36:BB36)&gt;($H36-1),0,IF($G36=BC$28,1,IF(SUM($J36:BB36)=0,0,1))))*BC$30</f>
        <v>#N/A</v>
      </c>
      <c r="BD36" s="320" t="e">
        <f ca="1">(IF(SUM($J36:BC36)&gt;($H36-1),0,IF($G36=BD$28,1,IF(SUM($J36:BC36)=0,0,1))))*BD$30</f>
        <v>#N/A</v>
      </c>
      <c r="BE36" s="321" t="e">
        <f ca="1">(IF(SUM($J36:BD36)&gt;($H36-1),0,IF($G36=BE$28,1,IF(SUM($J36:BD36)=0,0,1))))*BE$30</f>
        <v>#N/A</v>
      </c>
      <c r="BF36" s="322"/>
      <c r="BG36" s="323"/>
      <c r="BH36" s="323"/>
      <c r="BI36" s="323"/>
      <c r="BJ36" s="323"/>
      <c r="BK36" s="323"/>
      <c r="BL36" s="323"/>
      <c r="BM36" s="323"/>
      <c r="BN36" s="323"/>
      <c r="BO36" s="323"/>
      <c r="BP36" s="323"/>
      <c r="BQ36" s="323"/>
      <c r="BR36" s="323"/>
      <c r="BS36" s="323"/>
      <c r="BT36" s="323"/>
      <c r="BU36" s="323"/>
      <c r="BV36" s="323"/>
      <c r="BW36" s="323"/>
      <c r="BX36" s="323"/>
      <c r="BY36" s="323"/>
      <c r="BZ36" s="324">
        <f t="shared" si="19"/>
        <v>0</v>
      </c>
      <c r="CA36" s="325" t="str">
        <f>IF(BZ36=0,"","Alert: FTE sum differs from the value indicated in column I")</f>
        <v/>
      </c>
      <c r="CB36" s="339" t="e">
        <f t="shared" ca="1" si="20"/>
        <v>#N/A</v>
      </c>
      <c r="CC36" s="339" t="e">
        <f ca="1">ROUNDUP(('4.1'!AN7),0)</f>
        <v>#N/A</v>
      </c>
      <c r="CE36" s="443">
        <f>IF(G36="",'1.G.Data'!$C$14,('1.G.Data'!$C$14-'4.Team'!G36+1))</f>
        <v>0</v>
      </c>
      <c r="CG36" s="169" t="str">
        <f t="shared" ref="CG36:CG38" si="42">+CG$34</f>
        <v/>
      </c>
      <c r="CH36" s="169" t="str">
        <f t="shared" si="21"/>
        <v>Contract 3</v>
      </c>
      <c r="CI36" s="322">
        <f t="shared" ca="1" si="22"/>
        <v>0</v>
      </c>
      <c r="CJ36" s="322">
        <f t="shared" ca="1" si="23"/>
        <v>0</v>
      </c>
      <c r="CK36" s="322">
        <f t="shared" ca="1" si="24"/>
        <v>0</v>
      </c>
      <c r="CL36" s="322">
        <f t="shared" ca="1" si="25"/>
        <v>0</v>
      </c>
      <c r="CM36" s="322">
        <f t="shared" ca="1" si="26"/>
        <v>0</v>
      </c>
      <c r="CN36" s="322">
        <f t="shared" ca="1" si="27"/>
        <v>0</v>
      </c>
      <c r="CO36" s="322">
        <f t="shared" ca="1" si="28"/>
        <v>0</v>
      </c>
      <c r="CP36" s="322">
        <f t="shared" ca="1" si="29"/>
        <v>0</v>
      </c>
      <c r="CQ36" s="322">
        <f t="shared" ca="1" si="30"/>
        <v>0</v>
      </c>
      <c r="CR36" s="322">
        <f t="shared" ca="1" si="31"/>
        <v>0</v>
      </c>
      <c r="CS36" s="322">
        <f t="shared" ca="1" si="32"/>
        <v>0</v>
      </c>
      <c r="CT36" s="322">
        <f t="shared" ca="1" si="33"/>
        <v>0</v>
      </c>
      <c r="CU36" s="322">
        <f t="shared" ca="1" si="34"/>
        <v>0</v>
      </c>
      <c r="CV36" s="322">
        <f t="shared" ca="1" si="35"/>
        <v>0</v>
      </c>
      <c r="CW36" s="322">
        <f t="shared" ca="1" si="36"/>
        <v>0</v>
      </c>
      <c r="CX36" s="322">
        <f t="shared" ca="1" si="37"/>
        <v>0</v>
      </c>
      <c r="CY36" s="322">
        <f t="shared" ca="1" si="38"/>
        <v>0</v>
      </c>
      <c r="CZ36" s="322">
        <f t="shared" ca="1" si="39"/>
        <v>0</v>
      </c>
      <c r="DA36" s="322">
        <f t="shared" ca="1" si="40"/>
        <v>0</v>
      </c>
      <c r="DB36" s="322">
        <f t="shared" ca="1" si="41"/>
        <v>0</v>
      </c>
      <c r="DC36" s="339" t="e">
        <f ca="1">ROUNDUP('4.1'!K7,0)</f>
        <v>#N/A</v>
      </c>
      <c r="DD36" s="339" t="e">
        <f ca="1">ROUNDUP('4.1'!T7,0)</f>
        <v>#N/A</v>
      </c>
      <c r="DE36" s="339" t="e">
        <f ca="1">ROUNDUP('4.1'!AC7,0)</f>
        <v>#N/A</v>
      </c>
      <c r="DF36" s="339" t="e">
        <f ca="1">ROUNDUP('4.1'!AL7,0)</f>
        <v>#N/A</v>
      </c>
    </row>
    <row r="37" spans="1:110">
      <c r="A37" s="169" t="s">
        <v>292</v>
      </c>
      <c r="B37" s="314" t="s">
        <v>697</v>
      </c>
      <c r="C37" s="315"/>
      <c r="D37" s="315"/>
      <c r="E37" s="315"/>
      <c r="F37" s="338" t="str">
        <f>IF(D37="","NA",VLOOKUP(D37,'4.1'!$B$16:$F$57,5,FALSE))</f>
        <v>NA</v>
      </c>
      <c r="G37" s="326"/>
      <c r="H37" s="315"/>
      <c r="I37" s="318">
        <f t="shared" si="17"/>
        <v>0</v>
      </c>
      <c r="J37" s="319">
        <f t="shared" ca="1" si="18"/>
        <v>0</v>
      </c>
      <c r="K37" s="320">
        <f t="shared" ca="1" si="15"/>
        <v>0</v>
      </c>
      <c r="L37" s="320" t="e">
        <f ca="1">(IF(SUM($J37:K37)&gt;($H37-1),0,IF($G37=L$28,1,IF(SUM($J37:K37)=0,0,1))))*L$30</f>
        <v>#N/A</v>
      </c>
      <c r="M37" s="320" t="e">
        <f ca="1">(IF(SUM($J37:L37)&gt;($H37-1),0,IF($G37=M$28,1,IF(SUM($J37:L37)=0,0,1))))*M$30</f>
        <v>#N/A</v>
      </c>
      <c r="N37" s="320" t="e">
        <f ca="1">(IF(SUM($J37:M37)&gt;($H37-1),0,IF($G37=N$28,1,IF(SUM($J37:M37)=0,0,1))))*N$30</f>
        <v>#N/A</v>
      </c>
      <c r="O37" s="320" t="e">
        <f ca="1">(IF(SUM($J37:N37)&gt;($H37-1),0,IF($G37=O$28,1,IF(SUM($J37:N37)=0,0,1))))*O$30</f>
        <v>#N/A</v>
      </c>
      <c r="P37" s="320" t="e">
        <f ca="1">(IF(SUM($J37:O37)&gt;($H37-1),0,IF($G37=P$28,1,IF(SUM($J37:O37)=0,0,1))))*P$30</f>
        <v>#N/A</v>
      </c>
      <c r="Q37" s="320" t="e">
        <f ca="1">(IF(SUM($J37:P37)&gt;($H37-1),0,IF($G37=Q$28,1,IF(SUM($J37:P37)=0,0,1))))*Q$30</f>
        <v>#N/A</v>
      </c>
      <c r="R37" s="320" t="e">
        <f ca="1">(IF(SUM($J37:Q37)&gt;($H37-1),0,IF($G37=R$28,1,IF(SUM($J37:Q37)=0,0,1))))*R$30</f>
        <v>#N/A</v>
      </c>
      <c r="S37" s="320" t="e">
        <f ca="1">(IF(SUM($J37:R37)&gt;($H37-1),0,IF($G37=S$28,1,IF(SUM($J37:R37)=0,0,1))))*S$30</f>
        <v>#N/A</v>
      </c>
      <c r="T37" s="320" t="e">
        <f ca="1">(IF(SUM($J37:S37)&gt;($H37-1),0,IF($G37=T$28,1,IF(SUM($J37:S37)=0,0,1))))*T$30</f>
        <v>#N/A</v>
      </c>
      <c r="U37" s="321" t="e">
        <f ca="1">(IF(SUM($J37:T37)&gt;($H37-1),0,IF($G37=U$28,1,IF(SUM($J37:T37)=0,0,1))))*U$30</f>
        <v>#N/A</v>
      </c>
      <c r="V37" s="319" t="e">
        <f ca="1">(IF(SUM($J37:U37)&gt;($H37-1),0,IF($G37=V$28,1,IF(SUM($J37:U37)=0,0,1))))*V$30</f>
        <v>#N/A</v>
      </c>
      <c r="W37" s="320" t="e">
        <f ca="1">(IF(SUM($J37:V37)&gt;($H37-1),0,IF($G37=W$28,1,IF(SUM($J37:V37)=0,0,1))))*W$30</f>
        <v>#N/A</v>
      </c>
      <c r="X37" s="320" t="e">
        <f ca="1">(IF(SUM($J37:W37)&gt;($H37-1),0,IF($G37=X$28,1,IF(SUM($J37:W37)=0,0,1))))*X$30</f>
        <v>#N/A</v>
      </c>
      <c r="Y37" s="320" t="e">
        <f ca="1">(IF(SUM($J37:X37)&gt;($H37-1),0,IF($G37=Y$28,1,IF(SUM($J37:X37)=0,0,1))))*Y$30</f>
        <v>#N/A</v>
      </c>
      <c r="Z37" s="320" t="e">
        <f ca="1">(IF(SUM($J37:Y37)&gt;($H37-1),0,IF($G37=Z$28,1,IF(SUM($J37:Y37)=0,0,1))))*Z$30</f>
        <v>#N/A</v>
      </c>
      <c r="AA37" s="320" t="e">
        <f ca="1">(IF(SUM($J37:Z37)&gt;($H37-1),0,IF($G37=AA$28,1,IF(SUM($J37:Z37)=0,0,1))))*AA$30</f>
        <v>#N/A</v>
      </c>
      <c r="AB37" s="320" t="e">
        <f ca="1">(IF(SUM($J37:AA37)&gt;($H37-1),0,IF($G37=AB$28,1,IF(SUM($J37:AA37)=0,0,1))))*AB$30</f>
        <v>#N/A</v>
      </c>
      <c r="AC37" s="320" t="e">
        <f ca="1">(IF(SUM($J37:AB37)&gt;($H37-1),0,IF($G37=AC$28,1,IF(SUM($J37:AB37)=0,0,1))))*AC$30</f>
        <v>#N/A</v>
      </c>
      <c r="AD37" s="320" t="e">
        <f ca="1">(IF(SUM($J37:AC37)&gt;($H37-1),0,IF($G37=AD$28,1,IF(SUM($J37:AC37)=0,0,1))))*AD$30</f>
        <v>#N/A</v>
      </c>
      <c r="AE37" s="320" t="e">
        <f ca="1">(IF(SUM($J37:AD37)&gt;($H37-1),0,IF($G37=AE$28,1,IF(SUM($J37:AD37)=0,0,1))))*AE$30</f>
        <v>#N/A</v>
      </c>
      <c r="AF37" s="320" t="e">
        <f ca="1">(IF(SUM($J37:AE37)&gt;($H37-1),0,IF($G37=AF$28,1,IF(SUM($J37:AE37)=0,0,1))))*AF$30</f>
        <v>#N/A</v>
      </c>
      <c r="AG37" s="321" t="e">
        <f ca="1">(IF(SUM($J37:AF37)&gt;($H37-1),0,IF($G37=AG$28,1,IF(SUM($J37:AF37)=0,0,1))))*AG$30</f>
        <v>#N/A</v>
      </c>
      <c r="AH37" s="319" t="e">
        <f ca="1">(IF(SUM($J37:AG37)&gt;($H37-1),0,IF($G37=AH$28,1,IF(SUM($J37:AG37)=0,0,1))))*AH$30</f>
        <v>#N/A</v>
      </c>
      <c r="AI37" s="320" t="e">
        <f ca="1">(IF(SUM($J37:AH37)&gt;($H37-1),0,IF($G37=AI$28,1,IF(SUM($J37:AH37)=0,0,1))))*AI$30</f>
        <v>#N/A</v>
      </c>
      <c r="AJ37" s="320" t="e">
        <f ca="1">(IF(SUM($J37:AI37)&gt;($H37-1),0,IF($G37=AJ$28,1,IF(SUM($J37:AI37)=0,0,1))))*AJ$30</f>
        <v>#N/A</v>
      </c>
      <c r="AK37" s="320" t="e">
        <f ca="1">(IF(SUM($J37:AJ37)&gt;($H37-1),0,IF($G37=AK$28,1,IF(SUM($J37:AJ37)=0,0,1))))*AK$30</f>
        <v>#N/A</v>
      </c>
      <c r="AL37" s="320" t="e">
        <f ca="1">(IF(SUM($J37:AK37)&gt;($H37-1),0,IF($G37=AL$28,1,IF(SUM($J37:AK37)=0,0,1))))*AL$30</f>
        <v>#N/A</v>
      </c>
      <c r="AM37" s="320" t="e">
        <f ca="1">(IF(SUM($J37:AL37)&gt;($H37-1),0,IF($G37=AM$28,1,IF(SUM($J37:AL37)=0,0,1))))*AM$30</f>
        <v>#N/A</v>
      </c>
      <c r="AN37" s="320" t="e">
        <f ca="1">(IF(SUM($J37:AM37)&gt;($H37-1),0,IF($G37=AN$28,1,IF(SUM($J37:AM37)=0,0,1))))*AN$30</f>
        <v>#N/A</v>
      </c>
      <c r="AO37" s="320" t="e">
        <f ca="1">(IF(SUM($J37:AN37)&gt;($H37-1),0,IF($G37=AO$28,1,IF(SUM($J37:AN37)=0,0,1))))*AO$30</f>
        <v>#N/A</v>
      </c>
      <c r="AP37" s="320" t="e">
        <f ca="1">(IF(SUM($J37:AO37)&gt;($H37-1),0,IF($G37=AP$28,1,IF(SUM($J37:AO37)=0,0,1))))*AP$30</f>
        <v>#N/A</v>
      </c>
      <c r="AQ37" s="320" t="e">
        <f ca="1">(IF(SUM($J37:AP37)&gt;($H37-1),0,IF($G37=AQ$28,1,IF(SUM($J37:AP37)=0,0,1))))*AQ$30</f>
        <v>#N/A</v>
      </c>
      <c r="AR37" s="320" t="e">
        <f ca="1">(IF(SUM($J37:AQ37)&gt;($H37-1),0,IF($G37=AR$28,1,IF(SUM($J37:AQ37)=0,0,1))))*AR$30</f>
        <v>#N/A</v>
      </c>
      <c r="AS37" s="321" t="e">
        <f ca="1">(IF(SUM($J37:AR37)&gt;($H37-1),0,IF($G37=AS$28,1,IF(SUM($J37:AR37)=0,0,1))))*AS$30</f>
        <v>#N/A</v>
      </c>
      <c r="AT37" s="319" t="e">
        <f ca="1">(IF(SUM($J37:AS37)&gt;($H37-1),0,IF($G37=AT$28,1,IF(SUM($J37:AS37)=0,0,1))))*AT$30</f>
        <v>#N/A</v>
      </c>
      <c r="AU37" s="320" t="e">
        <f ca="1">(IF(SUM($J37:AT37)&gt;($H37-1),0,IF($G37=AU$28,1,IF(SUM($J37:AT37)=0,0,1))))*AU$30</f>
        <v>#N/A</v>
      </c>
      <c r="AV37" s="320" t="e">
        <f ca="1">(IF(SUM($J37:AU37)&gt;($H37-1),0,IF($G37=AV$28,1,IF(SUM($J37:AU37)=0,0,1))))*AV$30</f>
        <v>#N/A</v>
      </c>
      <c r="AW37" s="320" t="e">
        <f ca="1">(IF(SUM($J37:AV37)&gt;($H37-1),0,IF($G37=AW$28,1,IF(SUM($J37:AV37)=0,0,1))))*AW$30</f>
        <v>#N/A</v>
      </c>
      <c r="AX37" s="320" t="e">
        <f ca="1">(IF(SUM($J37:AW37)&gt;($H37-1),0,IF($G37=AX$28,1,IF(SUM($J37:AW37)=0,0,1))))*AX$30</f>
        <v>#N/A</v>
      </c>
      <c r="AY37" s="320" t="e">
        <f ca="1">(IF(SUM($J37:AX37)&gt;($H37-1),0,IF($G37=AY$28,1,IF(SUM($J37:AX37)=0,0,1))))*AY$30</f>
        <v>#N/A</v>
      </c>
      <c r="AZ37" s="320" t="e">
        <f ca="1">(IF(SUM($J37:AY37)&gt;($H37-1),0,IF($G37=AZ$28,1,IF(SUM($J37:AY37)=0,0,1))))*AZ$30</f>
        <v>#N/A</v>
      </c>
      <c r="BA37" s="320" t="e">
        <f ca="1">(IF(SUM($J37:AZ37)&gt;($H37-1),0,IF($G37=BA$28,1,IF(SUM($J37:AZ37)=0,0,1))))*BA$30</f>
        <v>#N/A</v>
      </c>
      <c r="BB37" s="320" t="e">
        <f ca="1">(IF(SUM($J37:BA37)&gt;($H37-1),0,IF($G37=BB$28,1,IF(SUM($J37:BA37)=0,0,1))))*BB$30</f>
        <v>#N/A</v>
      </c>
      <c r="BC37" s="320" t="e">
        <f ca="1">(IF(SUM($J37:BB37)&gt;($H37-1),0,IF($G37=BC$28,1,IF(SUM($J37:BB37)=0,0,1))))*BC$30</f>
        <v>#N/A</v>
      </c>
      <c r="BD37" s="320" t="e">
        <f ca="1">(IF(SUM($J37:BC37)&gt;($H37-1),0,IF($G37=BD$28,1,IF(SUM($J37:BC37)=0,0,1))))*BD$30</f>
        <v>#N/A</v>
      </c>
      <c r="BE37" s="321" t="e">
        <f ca="1">(IF(SUM($J37:BD37)&gt;($H37-1),0,IF($G37=BE$28,1,IF(SUM($J37:BD37)=0,0,1))))*BE$30</f>
        <v>#N/A</v>
      </c>
      <c r="BF37" s="322"/>
      <c r="BG37" s="323"/>
      <c r="BH37" s="323"/>
      <c r="BI37" s="323"/>
      <c r="BJ37" s="323"/>
      <c r="BK37" s="323"/>
      <c r="BL37" s="323"/>
      <c r="BM37" s="323"/>
      <c r="BN37" s="323"/>
      <c r="BO37" s="323"/>
      <c r="BP37" s="323"/>
      <c r="BQ37" s="323"/>
      <c r="BR37" s="323"/>
      <c r="BS37" s="323"/>
      <c r="BT37" s="323"/>
      <c r="BU37" s="323"/>
      <c r="BV37" s="323"/>
      <c r="BW37" s="323"/>
      <c r="BX37" s="323"/>
      <c r="BY37" s="323"/>
      <c r="BZ37" s="324">
        <f t="shared" si="19"/>
        <v>0</v>
      </c>
      <c r="CA37" s="325" t="str">
        <f>IF(BZ37=0,"","Alert: FTE sum differs from the value indicated in column I")</f>
        <v/>
      </c>
      <c r="CB37" s="339" t="e">
        <f t="shared" ca="1" si="20"/>
        <v>#N/A</v>
      </c>
      <c r="CC37" s="339" t="e">
        <f ca="1">ROUNDUP(('4.1'!AN8),0)</f>
        <v>#N/A</v>
      </c>
      <c r="CE37" s="443">
        <f>IF(G37="",'1.G.Data'!$C$14,('1.G.Data'!$C$14-'4.Team'!G37+1))</f>
        <v>0</v>
      </c>
      <c r="CG37" s="169" t="str">
        <f t="shared" si="42"/>
        <v/>
      </c>
      <c r="CH37" s="169" t="str">
        <f t="shared" si="21"/>
        <v>Contract 4</v>
      </c>
      <c r="CI37" s="322">
        <f t="shared" ca="1" si="22"/>
        <v>0</v>
      </c>
      <c r="CJ37" s="322">
        <f t="shared" ca="1" si="23"/>
        <v>0</v>
      </c>
      <c r="CK37" s="322">
        <f t="shared" ca="1" si="24"/>
        <v>0</v>
      </c>
      <c r="CL37" s="322">
        <f t="shared" ca="1" si="25"/>
        <v>0</v>
      </c>
      <c r="CM37" s="322">
        <f t="shared" ca="1" si="26"/>
        <v>0</v>
      </c>
      <c r="CN37" s="322">
        <f t="shared" ca="1" si="27"/>
        <v>0</v>
      </c>
      <c r="CO37" s="322">
        <f t="shared" ca="1" si="28"/>
        <v>0</v>
      </c>
      <c r="CP37" s="322">
        <f t="shared" ca="1" si="29"/>
        <v>0</v>
      </c>
      <c r="CQ37" s="322">
        <f t="shared" ca="1" si="30"/>
        <v>0</v>
      </c>
      <c r="CR37" s="322">
        <f t="shared" ca="1" si="31"/>
        <v>0</v>
      </c>
      <c r="CS37" s="322">
        <f t="shared" ca="1" si="32"/>
        <v>0</v>
      </c>
      <c r="CT37" s="322">
        <f t="shared" ca="1" si="33"/>
        <v>0</v>
      </c>
      <c r="CU37" s="322">
        <f t="shared" ca="1" si="34"/>
        <v>0</v>
      </c>
      <c r="CV37" s="322">
        <f t="shared" ca="1" si="35"/>
        <v>0</v>
      </c>
      <c r="CW37" s="322">
        <f t="shared" ca="1" si="36"/>
        <v>0</v>
      </c>
      <c r="CX37" s="322">
        <f t="shared" ca="1" si="37"/>
        <v>0</v>
      </c>
      <c r="CY37" s="322">
        <f t="shared" ca="1" si="38"/>
        <v>0</v>
      </c>
      <c r="CZ37" s="322">
        <f t="shared" ca="1" si="39"/>
        <v>0</v>
      </c>
      <c r="DA37" s="322">
        <f t="shared" ca="1" si="40"/>
        <v>0</v>
      </c>
      <c r="DB37" s="322">
        <f t="shared" ca="1" si="41"/>
        <v>0</v>
      </c>
      <c r="DC37" s="339" t="e">
        <f ca="1">ROUNDUP('4.1'!K8,0)</f>
        <v>#N/A</v>
      </c>
      <c r="DD37" s="339" t="e">
        <f ca="1">ROUNDUP('4.1'!T8,0)</f>
        <v>#N/A</v>
      </c>
      <c r="DE37" s="339" t="e">
        <f ca="1">ROUNDUP('4.1'!AC8,0)</f>
        <v>#N/A</v>
      </c>
      <c r="DF37" s="339" t="e">
        <f ca="1">ROUNDUP('4.1'!AL8,0)</f>
        <v>#N/A</v>
      </c>
    </row>
    <row r="38" spans="1:110">
      <c r="A38" s="169" t="s">
        <v>293</v>
      </c>
      <c r="B38" s="314" t="s">
        <v>698</v>
      </c>
      <c r="C38" s="315"/>
      <c r="D38" s="315"/>
      <c r="E38" s="315"/>
      <c r="F38" s="338" t="str">
        <f>IF(D38="","NA",VLOOKUP(D38,'4.1'!$B$16:$F$57,5,FALSE))</f>
        <v>NA</v>
      </c>
      <c r="G38" s="326"/>
      <c r="H38" s="315"/>
      <c r="I38" s="318">
        <f t="shared" si="17"/>
        <v>0</v>
      </c>
      <c r="J38" s="319">
        <f t="shared" ca="1" si="18"/>
        <v>0</v>
      </c>
      <c r="K38" s="320">
        <f t="shared" ca="1" si="15"/>
        <v>0</v>
      </c>
      <c r="L38" s="320" t="e">
        <f ca="1">(IF(SUM($J38:K38)&gt;($H38-1),0,IF($G38=L$28,1,IF(SUM($J38:K38)=0,0,1))))*L$30</f>
        <v>#N/A</v>
      </c>
      <c r="M38" s="320" t="e">
        <f ca="1">(IF(SUM($J38:L38)&gt;($H38-1),0,IF($G38=M$28,1,IF(SUM($J38:L38)=0,0,1))))*M$30</f>
        <v>#N/A</v>
      </c>
      <c r="N38" s="320" t="e">
        <f ca="1">(IF(SUM($J38:M38)&gt;($H38-1),0,IF($G38=N$28,1,IF(SUM($J38:M38)=0,0,1))))*N$30</f>
        <v>#N/A</v>
      </c>
      <c r="O38" s="320" t="e">
        <f ca="1">(IF(SUM($J38:N38)&gt;($H38-1),0,IF($G38=O$28,1,IF(SUM($J38:N38)=0,0,1))))*O$30</f>
        <v>#N/A</v>
      </c>
      <c r="P38" s="320" t="e">
        <f ca="1">(IF(SUM($J38:O38)&gt;($H38-1),0,IF($G38=P$28,1,IF(SUM($J38:O38)=0,0,1))))*P$30</f>
        <v>#N/A</v>
      </c>
      <c r="Q38" s="320" t="e">
        <f ca="1">(IF(SUM($J38:P38)&gt;($H38-1),0,IF($G38=Q$28,1,IF(SUM($J38:P38)=0,0,1))))*Q$30</f>
        <v>#N/A</v>
      </c>
      <c r="R38" s="320" t="e">
        <f ca="1">(IF(SUM($J38:Q38)&gt;($H38-1),0,IF($G38=R$28,1,IF(SUM($J38:Q38)=0,0,1))))*R$30</f>
        <v>#N/A</v>
      </c>
      <c r="S38" s="320" t="e">
        <f ca="1">(IF(SUM($J38:R38)&gt;($H38-1),0,IF($G38=S$28,1,IF(SUM($J38:R38)=0,0,1))))*S$30</f>
        <v>#N/A</v>
      </c>
      <c r="T38" s="320" t="e">
        <f ca="1">(IF(SUM($J38:S38)&gt;($H38-1),0,IF($G38=T$28,1,IF(SUM($J38:S38)=0,0,1))))*T$30</f>
        <v>#N/A</v>
      </c>
      <c r="U38" s="321" t="e">
        <f ca="1">(IF(SUM($J38:T38)&gt;($H38-1),0,IF($G38=U$28,1,IF(SUM($J38:T38)=0,0,1))))*U$30</f>
        <v>#N/A</v>
      </c>
      <c r="V38" s="319" t="e">
        <f ca="1">(IF(SUM($J38:U38)&gt;($H38-1),0,IF($G38=V$28,1,IF(SUM($J38:U38)=0,0,1))))*V$30</f>
        <v>#N/A</v>
      </c>
      <c r="W38" s="320" t="e">
        <f ca="1">(IF(SUM($J38:V38)&gt;($H38-1),0,IF($G38=W$28,1,IF(SUM($J38:V38)=0,0,1))))*W$30</f>
        <v>#N/A</v>
      </c>
      <c r="X38" s="320" t="e">
        <f ca="1">(IF(SUM($J38:W38)&gt;($H38-1),0,IF($G38=X$28,1,IF(SUM($J38:W38)=0,0,1))))*X$30</f>
        <v>#N/A</v>
      </c>
      <c r="Y38" s="320" t="e">
        <f ca="1">(IF(SUM($J38:X38)&gt;($H38-1),0,IF($G38=Y$28,1,IF(SUM($J38:X38)=0,0,1))))*Y$30</f>
        <v>#N/A</v>
      </c>
      <c r="Z38" s="320" t="e">
        <f ca="1">(IF(SUM($J38:Y38)&gt;($H38-1),0,IF($G38=Z$28,1,IF(SUM($J38:Y38)=0,0,1))))*Z$30</f>
        <v>#N/A</v>
      </c>
      <c r="AA38" s="320" t="e">
        <f ca="1">(IF(SUM($J38:Z38)&gt;($H38-1),0,IF($G38=AA$28,1,IF(SUM($J38:Z38)=0,0,1))))*AA$30</f>
        <v>#N/A</v>
      </c>
      <c r="AB38" s="320" t="e">
        <f ca="1">(IF(SUM($J38:AA38)&gt;($H38-1),0,IF($G38=AB$28,1,IF(SUM($J38:AA38)=0,0,1))))*AB$30</f>
        <v>#N/A</v>
      </c>
      <c r="AC38" s="320" t="e">
        <f ca="1">(IF(SUM($J38:AB38)&gt;($H38-1),0,IF($G38=AC$28,1,IF(SUM($J38:AB38)=0,0,1))))*AC$30</f>
        <v>#N/A</v>
      </c>
      <c r="AD38" s="320" t="e">
        <f ca="1">(IF(SUM($J38:AC38)&gt;($H38-1),0,IF($G38=AD$28,1,IF(SUM($J38:AC38)=0,0,1))))*AD$30</f>
        <v>#N/A</v>
      </c>
      <c r="AE38" s="320" t="e">
        <f ca="1">(IF(SUM($J38:AD38)&gt;($H38-1),0,IF($G38=AE$28,1,IF(SUM($J38:AD38)=0,0,1))))*AE$30</f>
        <v>#N/A</v>
      </c>
      <c r="AF38" s="320" t="e">
        <f ca="1">(IF(SUM($J38:AE38)&gt;($H38-1),0,IF($G38=AF$28,1,IF(SUM($J38:AE38)=0,0,1))))*AF$30</f>
        <v>#N/A</v>
      </c>
      <c r="AG38" s="321" t="e">
        <f ca="1">(IF(SUM($J38:AF38)&gt;($H38-1),0,IF($G38=AG$28,1,IF(SUM($J38:AF38)=0,0,1))))*AG$30</f>
        <v>#N/A</v>
      </c>
      <c r="AH38" s="319" t="e">
        <f ca="1">(IF(SUM($J38:AG38)&gt;($H38-1),0,IF($G38=AH$28,1,IF(SUM($J38:AG38)=0,0,1))))*AH$30</f>
        <v>#N/A</v>
      </c>
      <c r="AI38" s="320" t="e">
        <f ca="1">(IF(SUM($J38:AH38)&gt;($H38-1),0,IF($G38=AI$28,1,IF(SUM($J38:AH38)=0,0,1))))*AI$30</f>
        <v>#N/A</v>
      </c>
      <c r="AJ38" s="320" t="e">
        <f ca="1">(IF(SUM($J38:AI38)&gt;($H38-1),0,IF($G38=AJ$28,1,IF(SUM($J38:AI38)=0,0,1))))*AJ$30</f>
        <v>#N/A</v>
      </c>
      <c r="AK38" s="320" t="e">
        <f ca="1">(IF(SUM($J38:AJ38)&gt;($H38-1),0,IF($G38=AK$28,1,IF(SUM($J38:AJ38)=0,0,1))))*AK$30</f>
        <v>#N/A</v>
      </c>
      <c r="AL38" s="320" t="e">
        <f ca="1">(IF(SUM($J38:AK38)&gt;($H38-1),0,IF($G38=AL$28,1,IF(SUM($J38:AK38)=0,0,1))))*AL$30</f>
        <v>#N/A</v>
      </c>
      <c r="AM38" s="320" t="e">
        <f ca="1">(IF(SUM($J38:AL38)&gt;($H38-1),0,IF($G38=AM$28,1,IF(SUM($J38:AL38)=0,0,1))))*AM$30</f>
        <v>#N/A</v>
      </c>
      <c r="AN38" s="320" t="e">
        <f ca="1">(IF(SUM($J38:AM38)&gt;($H38-1),0,IF($G38=AN$28,1,IF(SUM($J38:AM38)=0,0,1))))*AN$30</f>
        <v>#N/A</v>
      </c>
      <c r="AO38" s="320" t="e">
        <f ca="1">(IF(SUM($J38:AN38)&gt;($H38-1),0,IF($G38=AO$28,1,IF(SUM($J38:AN38)=0,0,1))))*AO$30</f>
        <v>#N/A</v>
      </c>
      <c r="AP38" s="320" t="e">
        <f ca="1">(IF(SUM($J38:AO38)&gt;($H38-1),0,IF($G38=AP$28,1,IF(SUM($J38:AO38)=0,0,1))))*AP$30</f>
        <v>#N/A</v>
      </c>
      <c r="AQ38" s="320" t="e">
        <f ca="1">(IF(SUM($J38:AP38)&gt;($H38-1),0,IF($G38=AQ$28,1,IF(SUM($J38:AP38)=0,0,1))))*AQ$30</f>
        <v>#N/A</v>
      </c>
      <c r="AR38" s="320" t="e">
        <f ca="1">(IF(SUM($J38:AQ38)&gt;($H38-1),0,IF($G38=AR$28,1,IF(SUM($J38:AQ38)=0,0,1))))*AR$30</f>
        <v>#N/A</v>
      </c>
      <c r="AS38" s="321" t="e">
        <f ca="1">(IF(SUM($J38:AR38)&gt;($H38-1),0,IF($G38=AS$28,1,IF(SUM($J38:AR38)=0,0,1))))*AS$30</f>
        <v>#N/A</v>
      </c>
      <c r="AT38" s="319" t="e">
        <f ca="1">(IF(SUM($J38:AS38)&gt;($H38-1),0,IF($G38=AT$28,1,IF(SUM($J38:AS38)=0,0,1))))*AT$30</f>
        <v>#N/A</v>
      </c>
      <c r="AU38" s="320" t="e">
        <f ca="1">(IF(SUM($J38:AT38)&gt;($H38-1),0,IF($G38=AU$28,1,IF(SUM($J38:AT38)=0,0,1))))*AU$30</f>
        <v>#N/A</v>
      </c>
      <c r="AV38" s="320" t="e">
        <f ca="1">(IF(SUM($J38:AU38)&gt;($H38-1),0,IF($G38=AV$28,1,IF(SUM($J38:AU38)=0,0,1))))*AV$30</f>
        <v>#N/A</v>
      </c>
      <c r="AW38" s="320" t="e">
        <f ca="1">(IF(SUM($J38:AV38)&gt;($H38-1),0,IF($G38=AW$28,1,IF(SUM($J38:AV38)=0,0,1))))*AW$30</f>
        <v>#N/A</v>
      </c>
      <c r="AX38" s="320" t="e">
        <f ca="1">(IF(SUM($J38:AW38)&gt;($H38-1),0,IF($G38=AX$28,1,IF(SUM($J38:AW38)=0,0,1))))*AX$30</f>
        <v>#N/A</v>
      </c>
      <c r="AY38" s="320" t="e">
        <f ca="1">(IF(SUM($J38:AX38)&gt;($H38-1),0,IF($G38=AY$28,1,IF(SUM($J38:AX38)=0,0,1))))*AY$30</f>
        <v>#N/A</v>
      </c>
      <c r="AZ38" s="320" t="e">
        <f ca="1">(IF(SUM($J38:AY38)&gt;($H38-1),0,IF($G38=AZ$28,1,IF(SUM($J38:AY38)=0,0,1))))*AZ$30</f>
        <v>#N/A</v>
      </c>
      <c r="BA38" s="320" t="e">
        <f ca="1">(IF(SUM($J38:AZ38)&gt;($H38-1),0,IF($G38=BA$28,1,IF(SUM($J38:AZ38)=0,0,1))))*BA$30</f>
        <v>#N/A</v>
      </c>
      <c r="BB38" s="320" t="e">
        <f ca="1">(IF(SUM($J38:BA38)&gt;($H38-1),0,IF($G38=BB$28,1,IF(SUM($J38:BA38)=0,0,1))))*BB$30</f>
        <v>#N/A</v>
      </c>
      <c r="BC38" s="320" t="e">
        <f ca="1">(IF(SUM($J38:BB38)&gt;($H38-1),0,IF($G38=BC$28,1,IF(SUM($J38:BB38)=0,0,1))))*BC$30</f>
        <v>#N/A</v>
      </c>
      <c r="BD38" s="320" t="e">
        <f ca="1">(IF(SUM($J38:BC38)&gt;($H38-1),0,IF($G38=BD$28,1,IF(SUM($J38:BC38)=0,0,1))))*BD$30</f>
        <v>#N/A</v>
      </c>
      <c r="BE38" s="321" t="e">
        <f ca="1">(IF(SUM($J38:BD38)&gt;($H38-1),0,IF($G38=BE$28,1,IF(SUM($J38:BD38)=0,0,1))))*BE$30</f>
        <v>#N/A</v>
      </c>
      <c r="BF38" s="322"/>
      <c r="BG38" s="323"/>
      <c r="BH38" s="323"/>
      <c r="BI38" s="323"/>
      <c r="BJ38" s="323"/>
      <c r="BK38" s="323"/>
      <c r="BL38" s="323"/>
      <c r="BM38" s="323"/>
      <c r="BN38" s="323"/>
      <c r="BO38" s="323"/>
      <c r="BP38" s="323"/>
      <c r="BQ38" s="323"/>
      <c r="BR38" s="323"/>
      <c r="BS38" s="323"/>
      <c r="BT38" s="323"/>
      <c r="BU38" s="323"/>
      <c r="BV38" s="323"/>
      <c r="BW38" s="323"/>
      <c r="BX38" s="323"/>
      <c r="BY38" s="323"/>
      <c r="BZ38" s="324">
        <f t="shared" si="19"/>
        <v>0</v>
      </c>
      <c r="CA38" s="325" t="str">
        <f>IF(BZ38=0,"","Alert: FTE sum differs from the value indicated in column I")</f>
        <v/>
      </c>
      <c r="CB38" s="339" t="e">
        <f t="shared" ca="1" si="20"/>
        <v>#N/A</v>
      </c>
      <c r="CC38" s="339" t="e">
        <f ca="1">ROUNDUP(('4.1'!AN9),0)</f>
        <v>#N/A</v>
      </c>
      <c r="CE38" s="443">
        <f>IF(G38="",'1.G.Data'!$C$14,('1.G.Data'!$C$14-'4.Team'!G38+1))</f>
        <v>0</v>
      </c>
      <c r="CG38" s="169" t="str">
        <f t="shared" si="42"/>
        <v/>
      </c>
      <c r="CH38" s="169" t="str">
        <f t="shared" si="21"/>
        <v>Contract 5</v>
      </c>
      <c r="CI38" s="322">
        <f t="shared" ca="1" si="22"/>
        <v>0</v>
      </c>
      <c r="CJ38" s="322">
        <f t="shared" ca="1" si="23"/>
        <v>0</v>
      </c>
      <c r="CK38" s="322">
        <f t="shared" ca="1" si="24"/>
        <v>0</v>
      </c>
      <c r="CL38" s="322">
        <f t="shared" ca="1" si="25"/>
        <v>0</v>
      </c>
      <c r="CM38" s="322">
        <f t="shared" ca="1" si="26"/>
        <v>0</v>
      </c>
      <c r="CN38" s="322">
        <f t="shared" ca="1" si="27"/>
        <v>0</v>
      </c>
      <c r="CO38" s="322">
        <f t="shared" ca="1" si="28"/>
        <v>0</v>
      </c>
      <c r="CP38" s="322">
        <f t="shared" ca="1" si="29"/>
        <v>0</v>
      </c>
      <c r="CQ38" s="322">
        <f t="shared" ca="1" si="30"/>
        <v>0</v>
      </c>
      <c r="CR38" s="322">
        <f t="shared" ca="1" si="31"/>
        <v>0</v>
      </c>
      <c r="CS38" s="322">
        <f t="shared" ca="1" si="32"/>
        <v>0</v>
      </c>
      <c r="CT38" s="322">
        <f t="shared" ca="1" si="33"/>
        <v>0</v>
      </c>
      <c r="CU38" s="322">
        <f t="shared" ca="1" si="34"/>
        <v>0</v>
      </c>
      <c r="CV38" s="322">
        <f t="shared" ca="1" si="35"/>
        <v>0</v>
      </c>
      <c r="CW38" s="322">
        <f t="shared" ca="1" si="36"/>
        <v>0</v>
      </c>
      <c r="CX38" s="322">
        <f t="shared" ca="1" si="37"/>
        <v>0</v>
      </c>
      <c r="CY38" s="322">
        <f t="shared" ca="1" si="38"/>
        <v>0</v>
      </c>
      <c r="CZ38" s="322">
        <f t="shared" ca="1" si="39"/>
        <v>0</v>
      </c>
      <c r="DA38" s="322">
        <f t="shared" ca="1" si="40"/>
        <v>0</v>
      </c>
      <c r="DB38" s="322">
        <f t="shared" ca="1" si="41"/>
        <v>0</v>
      </c>
      <c r="DC38" s="339" t="e">
        <f ca="1">ROUNDUP('4.1'!K9,0)</f>
        <v>#N/A</v>
      </c>
      <c r="DD38" s="339" t="e">
        <f ca="1">ROUNDUP('4.1'!T9,0)</f>
        <v>#N/A</v>
      </c>
      <c r="DE38" s="339" t="e">
        <f ca="1">ROUNDUP('4.1'!AC9,0)</f>
        <v>#N/A</v>
      </c>
      <c r="DF38" s="339" t="e">
        <f ca="1">ROUNDUP('4.1'!AL9,0)</f>
        <v>#N/A</v>
      </c>
    </row>
    <row r="39" spans="1:110">
      <c r="B39" s="164"/>
      <c r="C39" s="164"/>
      <c r="D39" s="164"/>
      <c r="E39" s="164"/>
      <c r="F39" s="340"/>
      <c r="G39" s="341"/>
      <c r="H39" s="164"/>
      <c r="I39" s="342"/>
      <c r="J39" s="343"/>
      <c r="K39" s="343"/>
      <c r="L39" s="343"/>
      <c r="M39" s="343"/>
      <c r="N39" s="343"/>
      <c r="O39" s="343"/>
      <c r="P39" s="343"/>
      <c r="Q39" s="343"/>
      <c r="R39" s="343"/>
      <c r="S39" s="343"/>
      <c r="T39" s="343"/>
      <c r="U39" s="343"/>
      <c r="V39" s="720" t="s">
        <v>1049</v>
      </c>
      <c r="W39" s="720"/>
      <c r="X39" s="720"/>
      <c r="Y39" s="720"/>
      <c r="Z39" s="720"/>
      <c r="AA39" s="720"/>
      <c r="AB39" s="720"/>
      <c r="AC39" s="720"/>
      <c r="AD39" s="720"/>
      <c r="AE39" s="720"/>
      <c r="AF39" s="720"/>
      <c r="AG39" s="720"/>
      <c r="AH39" s="720"/>
      <c r="AI39" s="720"/>
      <c r="AJ39" s="720"/>
      <c r="AK39" s="720"/>
      <c r="AL39" s="720"/>
      <c r="AM39" s="720"/>
      <c r="AN39" s="720"/>
      <c r="AO39" s="720"/>
      <c r="AP39" s="720"/>
      <c r="AQ39" s="720"/>
      <c r="AR39" s="720"/>
      <c r="AS39" s="720"/>
      <c r="AT39" s="720"/>
      <c r="AU39" s="720"/>
      <c r="AV39" s="720"/>
      <c r="AW39" s="720"/>
      <c r="AX39" s="720"/>
      <c r="AY39" s="720"/>
      <c r="AZ39" s="720"/>
      <c r="BA39" s="720"/>
      <c r="BB39" s="720"/>
      <c r="BC39" s="720"/>
      <c r="BD39" s="720"/>
      <c r="BE39" s="721"/>
      <c r="BF39" s="328">
        <f>+BF48</f>
        <v>0</v>
      </c>
      <c r="BG39" s="328">
        <f t="shared" ref="BG39:BY39" si="43">+BG48</f>
        <v>0</v>
      </c>
      <c r="BH39" s="328">
        <f t="shared" si="43"/>
        <v>0</v>
      </c>
      <c r="BI39" s="328">
        <f t="shared" si="43"/>
        <v>0</v>
      </c>
      <c r="BJ39" s="328">
        <f t="shared" si="43"/>
        <v>0</v>
      </c>
      <c r="BK39" s="328">
        <f t="shared" si="43"/>
        <v>0</v>
      </c>
      <c r="BL39" s="328">
        <f t="shared" si="43"/>
        <v>0</v>
      </c>
      <c r="BM39" s="328">
        <f t="shared" si="43"/>
        <v>0</v>
      </c>
      <c r="BN39" s="328">
        <f t="shared" si="43"/>
        <v>0</v>
      </c>
      <c r="BO39" s="328">
        <f t="shared" si="43"/>
        <v>0</v>
      </c>
      <c r="BP39" s="328">
        <f t="shared" si="43"/>
        <v>0</v>
      </c>
      <c r="BQ39" s="328">
        <f t="shared" si="43"/>
        <v>0</v>
      </c>
      <c r="BR39" s="328">
        <f t="shared" si="43"/>
        <v>0</v>
      </c>
      <c r="BS39" s="328">
        <f t="shared" si="43"/>
        <v>0</v>
      </c>
      <c r="BT39" s="328">
        <f t="shared" si="43"/>
        <v>0</v>
      </c>
      <c r="BU39" s="328">
        <f t="shared" si="43"/>
        <v>0</v>
      </c>
      <c r="BV39" s="328">
        <f t="shared" si="43"/>
        <v>0</v>
      </c>
      <c r="BW39" s="328">
        <f t="shared" si="43"/>
        <v>0</v>
      </c>
      <c r="BX39" s="328">
        <f t="shared" si="43"/>
        <v>0</v>
      </c>
      <c r="BY39" s="328">
        <f t="shared" si="43"/>
        <v>0</v>
      </c>
      <c r="BZ39" s="342"/>
      <c r="CA39" s="344"/>
      <c r="CB39" s="345" t="e">
        <f ca="1">SUM(CB34:CB38)</f>
        <v>#N/A</v>
      </c>
      <c r="CC39" s="345" t="e">
        <f ca="1">SUM(CC34:CC38)</f>
        <v>#N/A</v>
      </c>
      <c r="CD39" s="345">
        <f t="shared" ref="CD39:DB39" si="44">SUM(CD34:CD38)</f>
        <v>0</v>
      </c>
      <c r="CE39" s="345">
        <f t="shared" si="44"/>
        <v>0</v>
      </c>
      <c r="CF39" s="345">
        <f t="shared" si="44"/>
        <v>0</v>
      </c>
      <c r="CG39" s="345">
        <f t="shared" si="44"/>
        <v>0</v>
      </c>
      <c r="CH39" s="345">
        <f t="shared" si="44"/>
        <v>0</v>
      </c>
      <c r="CI39" s="345">
        <f t="shared" ca="1" si="44"/>
        <v>0</v>
      </c>
      <c r="CJ39" s="345">
        <f t="shared" ca="1" si="44"/>
        <v>0</v>
      </c>
      <c r="CK39" s="345">
        <f t="shared" ca="1" si="44"/>
        <v>0</v>
      </c>
      <c r="CL39" s="345">
        <f t="shared" ca="1" si="44"/>
        <v>0</v>
      </c>
      <c r="CM39" s="345">
        <f t="shared" ca="1" si="44"/>
        <v>0</v>
      </c>
      <c r="CN39" s="345">
        <f t="shared" ca="1" si="44"/>
        <v>0</v>
      </c>
      <c r="CO39" s="345">
        <f t="shared" ca="1" si="44"/>
        <v>0</v>
      </c>
      <c r="CP39" s="345">
        <f t="shared" ca="1" si="44"/>
        <v>0</v>
      </c>
      <c r="CQ39" s="345">
        <f t="shared" ca="1" si="44"/>
        <v>0</v>
      </c>
      <c r="CR39" s="345">
        <f t="shared" ca="1" si="44"/>
        <v>0</v>
      </c>
      <c r="CS39" s="345">
        <f t="shared" ca="1" si="44"/>
        <v>0</v>
      </c>
      <c r="CT39" s="345">
        <f t="shared" ca="1" si="44"/>
        <v>0</v>
      </c>
      <c r="CU39" s="345">
        <f t="shared" ca="1" si="44"/>
        <v>0</v>
      </c>
      <c r="CV39" s="345">
        <f t="shared" ca="1" si="44"/>
        <v>0</v>
      </c>
      <c r="CW39" s="345">
        <f t="shared" ca="1" si="44"/>
        <v>0</v>
      </c>
      <c r="CX39" s="345">
        <f t="shared" ca="1" si="44"/>
        <v>0</v>
      </c>
      <c r="CY39" s="345">
        <f t="shared" ca="1" si="44"/>
        <v>0</v>
      </c>
      <c r="CZ39" s="345">
        <f t="shared" ca="1" si="44"/>
        <v>0</v>
      </c>
      <c r="DA39" s="345">
        <f t="shared" ca="1" si="44"/>
        <v>0</v>
      </c>
      <c r="DB39" s="345">
        <f t="shared" ca="1" si="44"/>
        <v>0</v>
      </c>
      <c r="DC39" s="345" t="e">
        <f ca="1">SUM(DC34:DC38)</f>
        <v>#N/A</v>
      </c>
      <c r="DD39" s="345" t="e">
        <f ca="1">SUM(DD34:DD38)</f>
        <v>#N/A</v>
      </c>
      <c r="DE39" s="345" t="e">
        <f t="shared" ref="DE39" ca="1" si="45">SUM(DE34:DE38)</f>
        <v>#N/A</v>
      </c>
      <c r="DF39" s="345" t="e">
        <f t="shared" ref="DF39" ca="1" si="46">SUM(DF34:DF38)</f>
        <v>#N/A</v>
      </c>
    </row>
    <row r="40" spans="1:110">
      <c r="BF40" s="366">
        <f>SUM(BF34:BF38)</f>
        <v>0</v>
      </c>
      <c r="BG40" s="366">
        <f t="shared" ref="BG40:BY40" si="47">SUM(BG34:BG38)</f>
        <v>0</v>
      </c>
      <c r="BH40" s="366">
        <f t="shared" si="47"/>
        <v>0</v>
      </c>
      <c r="BI40" s="366">
        <f t="shared" si="47"/>
        <v>0</v>
      </c>
      <c r="BJ40" s="366">
        <f t="shared" si="47"/>
        <v>0</v>
      </c>
      <c r="BK40" s="366">
        <f t="shared" si="47"/>
        <v>0</v>
      </c>
      <c r="BL40" s="366">
        <f t="shared" si="47"/>
        <v>0</v>
      </c>
      <c r="BM40" s="366">
        <f t="shared" si="47"/>
        <v>0</v>
      </c>
      <c r="BN40" s="366">
        <f t="shared" si="47"/>
        <v>0</v>
      </c>
      <c r="BO40" s="366">
        <f t="shared" si="47"/>
        <v>0</v>
      </c>
      <c r="BP40" s="366">
        <f t="shared" si="47"/>
        <v>0</v>
      </c>
      <c r="BQ40" s="366">
        <f t="shared" si="47"/>
        <v>0</v>
      </c>
      <c r="BR40" s="366">
        <f t="shared" si="47"/>
        <v>0</v>
      </c>
      <c r="BS40" s="366">
        <f t="shared" si="47"/>
        <v>0</v>
      </c>
      <c r="BT40" s="366">
        <f t="shared" si="47"/>
        <v>0</v>
      </c>
      <c r="BU40" s="366">
        <f t="shared" si="47"/>
        <v>0</v>
      </c>
      <c r="BV40" s="366">
        <f t="shared" si="47"/>
        <v>0</v>
      </c>
      <c r="BW40" s="366">
        <f t="shared" si="47"/>
        <v>0</v>
      </c>
      <c r="BX40" s="366">
        <f t="shared" si="47"/>
        <v>0</v>
      </c>
      <c r="BY40" s="366">
        <f t="shared" si="47"/>
        <v>0</v>
      </c>
      <c r="CI40" s="366"/>
      <c r="CJ40" s="366"/>
      <c r="CK40" s="366"/>
      <c r="CL40" s="366"/>
      <c r="CM40" s="366"/>
      <c r="CN40" s="366"/>
      <c r="CO40" s="366"/>
      <c r="CP40" s="366"/>
      <c r="CQ40" s="366"/>
      <c r="CR40" s="366"/>
      <c r="CS40" s="366"/>
      <c r="CT40" s="366"/>
      <c r="CU40" s="366"/>
      <c r="CV40" s="366"/>
      <c r="CW40" s="366"/>
      <c r="CX40" s="366"/>
      <c r="CY40" s="366"/>
      <c r="CZ40" s="366"/>
      <c r="DA40" s="366"/>
      <c r="DB40" s="366"/>
    </row>
    <row r="41" spans="1:110" ht="20.3">
      <c r="B41" s="707" t="s">
        <v>856</v>
      </c>
      <c r="C41" s="707"/>
      <c r="D41" s="707"/>
      <c r="E41" s="707"/>
      <c r="F41" s="707"/>
      <c r="G41" s="707"/>
      <c r="H41" s="707"/>
      <c r="I41" s="707"/>
      <c r="J41" s="714">
        <f ca="1">+J32</f>
        <v>2026</v>
      </c>
      <c r="K41" s="715"/>
      <c r="L41" s="715"/>
      <c r="M41" s="715"/>
      <c r="N41" s="715"/>
      <c r="O41" s="715"/>
      <c r="P41" s="715"/>
      <c r="Q41" s="715"/>
      <c r="R41" s="715"/>
      <c r="S41" s="715"/>
      <c r="T41" s="715"/>
      <c r="U41" s="716"/>
      <c r="V41" s="714">
        <f ca="1">+J41+1</f>
        <v>2027</v>
      </c>
      <c r="W41" s="715"/>
      <c r="X41" s="715"/>
      <c r="Y41" s="715"/>
      <c r="Z41" s="715"/>
      <c r="AA41" s="715"/>
      <c r="AB41" s="715"/>
      <c r="AC41" s="715"/>
      <c r="AD41" s="715"/>
      <c r="AE41" s="715"/>
      <c r="AF41" s="715"/>
      <c r="AG41" s="716"/>
      <c r="AH41" s="714">
        <f ca="1">+V41+1</f>
        <v>2028</v>
      </c>
      <c r="AI41" s="715"/>
      <c r="AJ41" s="715"/>
      <c r="AK41" s="715"/>
      <c r="AL41" s="715"/>
      <c r="AM41" s="715"/>
      <c r="AN41" s="715"/>
      <c r="AO41" s="715"/>
      <c r="AP41" s="715"/>
      <c r="AQ41" s="715"/>
      <c r="AR41" s="715"/>
      <c r="AS41" s="716"/>
      <c r="AT41" s="714">
        <f ca="1">+AH41+1</f>
        <v>2029</v>
      </c>
      <c r="AU41" s="715"/>
      <c r="AV41" s="715"/>
      <c r="AW41" s="715"/>
      <c r="AX41" s="715"/>
      <c r="AY41" s="715"/>
      <c r="AZ41" s="715"/>
      <c r="BA41" s="715"/>
      <c r="BB41" s="715"/>
      <c r="BC41" s="715"/>
      <c r="BD41" s="715"/>
      <c r="BE41" s="716"/>
      <c r="BF41" s="708" t="str">
        <f>+BF1</f>
        <v>TASK LIST [Distribute Person*month from column I to the various tasks]</v>
      </c>
      <c r="BG41" s="708"/>
      <c r="BH41" s="708"/>
      <c r="BI41" s="708"/>
      <c r="BJ41" s="708"/>
      <c r="BK41" s="708"/>
      <c r="BL41" s="708"/>
      <c r="BM41" s="708"/>
      <c r="BN41" s="708"/>
      <c r="BO41" s="708"/>
      <c r="BP41" s="708"/>
      <c r="BQ41" s="708"/>
      <c r="BR41" s="708"/>
      <c r="BS41" s="708"/>
      <c r="BT41" s="708"/>
      <c r="BU41" s="708"/>
      <c r="BV41" s="708"/>
      <c r="BW41" s="708"/>
      <c r="BX41" s="708"/>
      <c r="BY41" s="708"/>
      <c r="CB41" s="710" t="s">
        <v>838</v>
      </c>
      <c r="CC41" s="710"/>
      <c r="CI41" s="708">
        <f>+CI1</f>
        <v>0</v>
      </c>
      <c r="CJ41" s="708"/>
      <c r="CK41" s="708"/>
      <c r="CL41" s="708"/>
      <c r="CM41" s="708"/>
      <c r="CN41" s="708"/>
      <c r="CO41" s="708"/>
      <c r="CP41" s="708"/>
      <c r="CQ41" s="708"/>
      <c r="CR41" s="708"/>
      <c r="CS41" s="708"/>
      <c r="CT41" s="708"/>
      <c r="CU41" s="708"/>
      <c r="CV41" s="708"/>
      <c r="CW41" s="708"/>
      <c r="CX41" s="708"/>
      <c r="CY41" s="708"/>
      <c r="CZ41" s="708"/>
      <c r="DA41" s="708"/>
      <c r="DB41" s="708"/>
      <c r="DC41" s="708" t="s">
        <v>942</v>
      </c>
      <c r="DD41" s="708"/>
      <c r="DE41" s="708"/>
      <c r="DF41" s="708"/>
    </row>
    <row r="42" spans="1:110">
      <c r="B42" s="298" t="s">
        <v>11</v>
      </c>
      <c r="C42" s="299" t="s">
        <v>708</v>
      </c>
      <c r="D42" s="709" t="s">
        <v>338</v>
      </c>
      <c r="E42" s="709"/>
      <c r="F42" s="726"/>
      <c r="G42" s="298" t="s">
        <v>847</v>
      </c>
      <c r="H42" s="298" t="s">
        <v>642</v>
      </c>
      <c r="I42" s="299" t="s">
        <v>857</v>
      </c>
      <c r="J42" s="300" t="s">
        <v>2</v>
      </c>
      <c r="K42" s="301" t="s">
        <v>3</v>
      </c>
      <c r="L42" s="301" t="s">
        <v>4</v>
      </c>
      <c r="M42" s="301" t="s">
        <v>5</v>
      </c>
      <c r="N42" s="301" t="s">
        <v>4</v>
      </c>
      <c r="O42" s="301" t="s">
        <v>2</v>
      </c>
      <c r="P42" s="301" t="s">
        <v>2</v>
      </c>
      <c r="Q42" s="301" t="s">
        <v>5</v>
      </c>
      <c r="R42" s="301" t="s">
        <v>6</v>
      </c>
      <c r="S42" s="301" t="s">
        <v>7</v>
      </c>
      <c r="T42" s="301" t="s">
        <v>8</v>
      </c>
      <c r="U42" s="302" t="s">
        <v>9</v>
      </c>
      <c r="V42" s="300" t="s">
        <v>2</v>
      </c>
      <c r="W42" s="301" t="s">
        <v>3</v>
      </c>
      <c r="X42" s="301" t="s">
        <v>4</v>
      </c>
      <c r="Y42" s="301" t="s">
        <v>5</v>
      </c>
      <c r="Z42" s="301" t="s">
        <v>4</v>
      </c>
      <c r="AA42" s="301" t="s">
        <v>2</v>
      </c>
      <c r="AB42" s="301" t="s">
        <v>2</v>
      </c>
      <c r="AC42" s="301" t="s">
        <v>5</v>
      </c>
      <c r="AD42" s="301" t="s">
        <v>6</v>
      </c>
      <c r="AE42" s="301" t="s">
        <v>7</v>
      </c>
      <c r="AF42" s="301" t="s">
        <v>8</v>
      </c>
      <c r="AG42" s="302" t="s">
        <v>9</v>
      </c>
      <c r="AH42" s="300" t="s">
        <v>2</v>
      </c>
      <c r="AI42" s="301" t="s">
        <v>3</v>
      </c>
      <c r="AJ42" s="301" t="s">
        <v>4</v>
      </c>
      <c r="AK42" s="301" t="s">
        <v>5</v>
      </c>
      <c r="AL42" s="301" t="s">
        <v>4</v>
      </c>
      <c r="AM42" s="301" t="s">
        <v>2</v>
      </c>
      <c r="AN42" s="301" t="s">
        <v>2</v>
      </c>
      <c r="AO42" s="301" t="s">
        <v>5</v>
      </c>
      <c r="AP42" s="301" t="s">
        <v>6</v>
      </c>
      <c r="AQ42" s="301" t="s">
        <v>7</v>
      </c>
      <c r="AR42" s="301" t="s">
        <v>8</v>
      </c>
      <c r="AS42" s="302" t="s">
        <v>9</v>
      </c>
      <c r="AT42" s="300" t="s">
        <v>2</v>
      </c>
      <c r="AU42" s="301" t="s">
        <v>3</v>
      </c>
      <c r="AV42" s="301" t="s">
        <v>4</v>
      </c>
      <c r="AW42" s="301" t="s">
        <v>5</v>
      </c>
      <c r="AX42" s="301" t="s">
        <v>4</v>
      </c>
      <c r="AY42" s="301" t="s">
        <v>2</v>
      </c>
      <c r="AZ42" s="301" t="s">
        <v>2</v>
      </c>
      <c r="BA42" s="301" t="s">
        <v>5</v>
      </c>
      <c r="BB42" s="301" t="s">
        <v>6</v>
      </c>
      <c r="BC42" s="301" t="s">
        <v>7</v>
      </c>
      <c r="BD42" s="301" t="s">
        <v>8</v>
      </c>
      <c r="BE42" s="302" t="s">
        <v>9</v>
      </c>
      <c r="BF42" s="303" t="str">
        <f>+BF2</f>
        <v>S/T</v>
      </c>
      <c r="BG42" s="303" t="str">
        <f t="shared" ref="BG42:BY42" si="48">+BG2</f>
        <v>S/T</v>
      </c>
      <c r="BH42" s="303" t="str">
        <f t="shared" si="48"/>
        <v>S/T</v>
      </c>
      <c r="BI42" s="303" t="str">
        <f t="shared" si="48"/>
        <v>S/T</v>
      </c>
      <c r="BJ42" s="303" t="str">
        <f t="shared" si="48"/>
        <v>S/T</v>
      </c>
      <c r="BK42" s="303" t="str">
        <f t="shared" si="48"/>
        <v>S/T</v>
      </c>
      <c r="BL42" s="303" t="str">
        <f t="shared" si="48"/>
        <v>S/T</v>
      </c>
      <c r="BM42" s="303" t="str">
        <f t="shared" si="48"/>
        <v>S/T</v>
      </c>
      <c r="BN42" s="303" t="str">
        <f t="shared" si="48"/>
        <v>S/T</v>
      </c>
      <c r="BO42" s="303" t="str">
        <f t="shared" si="48"/>
        <v>S/T</v>
      </c>
      <c r="BP42" s="303" t="str">
        <f t="shared" si="48"/>
        <v>S/T</v>
      </c>
      <c r="BQ42" s="303" t="str">
        <f t="shared" si="48"/>
        <v>S/T</v>
      </c>
      <c r="BR42" s="303" t="str">
        <f t="shared" si="48"/>
        <v>S/T</v>
      </c>
      <c r="BS42" s="303" t="str">
        <f t="shared" si="48"/>
        <v>S/T</v>
      </c>
      <c r="BT42" s="303" t="str">
        <f t="shared" si="48"/>
        <v>S/T</v>
      </c>
      <c r="BU42" s="303" t="str">
        <f t="shared" si="48"/>
        <v>S/T</v>
      </c>
      <c r="BV42" s="303" t="str">
        <f t="shared" si="48"/>
        <v>S/T</v>
      </c>
      <c r="BW42" s="303" t="str">
        <f t="shared" si="48"/>
        <v>S/T</v>
      </c>
      <c r="BX42" s="303" t="str">
        <f t="shared" si="48"/>
        <v>S/T</v>
      </c>
      <c r="BY42" s="303" t="str">
        <f t="shared" si="48"/>
        <v>S/T</v>
      </c>
      <c r="BZ42" s="301" t="s">
        <v>841</v>
      </c>
      <c r="CA42" s="301" t="s">
        <v>729</v>
      </c>
      <c r="CB42" s="337" t="s">
        <v>839</v>
      </c>
      <c r="CC42" s="337" t="s">
        <v>840</v>
      </c>
      <c r="CI42" s="303" t="str">
        <f>+CI33</f>
        <v>S/T</v>
      </c>
      <c r="CJ42" s="303" t="str">
        <f t="shared" ref="CJ42:DB42" si="49">+CJ33</f>
        <v>S/T</v>
      </c>
      <c r="CK42" s="303" t="str">
        <f t="shared" si="49"/>
        <v>S/T</v>
      </c>
      <c r="CL42" s="303" t="str">
        <f t="shared" si="49"/>
        <v>S/T</v>
      </c>
      <c r="CM42" s="303" t="str">
        <f t="shared" si="49"/>
        <v>S/T</v>
      </c>
      <c r="CN42" s="303" t="str">
        <f t="shared" si="49"/>
        <v>S/T</v>
      </c>
      <c r="CO42" s="303" t="str">
        <f t="shared" si="49"/>
        <v>S/T</v>
      </c>
      <c r="CP42" s="303" t="str">
        <f t="shared" si="49"/>
        <v>S/T</v>
      </c>
      <c r="CQ42" s="303" t="str">
        <f t="shared" si="49"/>
        <v>S/T</v>
      </c>
      <c r="CR42" s="303" t="str">
        <f t="shared" si="49"/>
        <v>S/T</v>
      </c>
      <c r="CS42" s="303" t="str">
        <f t="shared" si="49"/>
        <v>S/T</v>
      </c>
      <c r="CT42" s="303" t="str">
        <f t="shared" si="49"/>
        <v>S/T</v>
      </c>
      <c r="CU42" s="303" t="str">
        <f t="shared" si="49"/>
        <v>S/T</v>
      </c>
      <c r="CV42" s="303" t="str">
        <f t="shared" si="49"/>
        <v>S/T</v>
      </c>
      <c r="CW42" s="303" t="str">
        <f t="shared" si="49"/>
        <v>S/T</v>
      </c>
      <c r="CX42" s="303" t="str">
        <f t="shared" si="49"/>
        <v>S/T</v>
      </c>
      <c r="CY42" s="303" t="str">
        <f t="shared" si="49"/>
        <v>S/T</v>
      </c>
      <c r="CZ42" s="303" t="str">
        <f t="shared" si="49"/>
        <v>S/T</v>
      </c>
      <c r="DA42" s="303" t="str">
        <f t="shared" si="49"/>
        <v>S/T</v>
      </c>
      <c r="DB42" s="303" t="str">
        <f t="shared" si="49"/>
        <v>S/T</v>
      </c>
      <c r="DC42" s="303">
        <f ca="1">+DC33</f>
        <v>2026</v>
      </c>
      <c r="DD42" s="303">
        <f t="shared" ref="DD42:DF42" ca="1" si="50">+DD33</f>
        <v>2027</v>
      </c>
      <c r="DE42" s="303">
        <f t="shared" ca="1" si="50"/>
        <v>2028</v>
      </c>
      <c r="DF42" s="303">
        <f t="shared" ca="1" si="50"/>
        <v>2029</v>
      </c>
    </row>
    <row r="43" spans="1:110">
      <c r="A43" s="169" t="s">
        <v>294</v>
      </c>
      <c r="B43" s="314" t="s">
        <v>699</v>
      </c>
      <c r="C43" s="315"/>
      <c r="D43" s="717" t="str">
        <f t="shared" ref="D43:D47" si="51">IF(C43=$B$57,$C$57,IF(C43=$B$58,$C$57,$C$59))</f>
        <v>See FCT scholarship regulations.</v>
      </c>
      <c r="E43" s="718"/>
      <c r="F43" s="719"/>
      <c r="G43" s="326"/>
      <c r="H43" s="315"/>
      <c r="I43" s="318">
        <f>ROUNDUP((H43),2)</f>
        <v>0</v>
      </c>
      <c r="J43" s="319">
        <f ca="1">IF(G43="",0,IF($G43=J$29,1,0))*J$30</f>
        <v>0</v>
      </c>
      <c r="K43" s="320">
        <f t="shared" ref="K43:K47" ca="1" si="52">(IF(G43=K$28,1,IF((G43+H43)&lt;3,0,IF(G43&gt;K$28,0,1))))*K$30</f>
        <v>0</v>
      </c>
      <c r="L43" s="320" t="e">
        <f ca="1">(IF(SUM($J43:K43)&gt;($H43-1),0,IF($G43=L$28,1,IF(SUM($J43:K43)=0,0,1))))*L$30</f>
        <v>#N/A</v>
      </c>
      <c r="M43" s="320" t="e">
        <f ca="1">(IF(SUM($J43:L43)&gt;($H43-1),0,IF($G43=M$28,1,IF(SUM($J43:L43)=0,0,1))))*M$30</f>
        <v>#N/A</v>
      </c>
      <c r="N43" s="320" t="e">
        <f ca="1">(IF(SUM($J43:M43)&gt;($H43-1),0,IF($G43=N$28,1,IF(SUM($J43:M43)=0,0,1))))*N$30</f>
        <v>#N/A</v>
      </c>
      <c r="O43" s="320" t="e">
        <f ca="1">(IF(SUM($J43:N43)&gt;($H43-1),0,IF($G43=O$28,1,IF(SUM($J43:N43)=0,0,1))))*O$30</f>
        <v>#N/A</v>
      </c>
      <c r="P43" s="320" t="e">
        <f ca="1">(IF(SUM($J43:O43)&gt;($H43-1),0,IF($G43=P$28,1,IF(SUM($J43:O43)=0,0,1))))*P$30</f>
        <v>#N/A</v>
      </c>
      <c r="Q43" s="320" t="e">
        <f ca="1">(IF(SUM($J43:P43)&gt;($H43-1),0,IF($G43=Q$28,1,IF(SUM($J43:P43)=0,0,1))))*Q$30</f>
        <v>#N/A</v>
      </c>
      <c r="R43" s="320" t="e">
        <f ca="1">(IF(SUM($J43:Q43)&gt;($H43-1),0,IF($G43=R$28,1,IF(SUM($J43:Q43)=0,0,1))))*R$30</f>
        <v>#N/A</v>
      </c>
      <c r="S43" s="320" t="e">
        <f ca="1">(IF(SUM($J43:R43)&gt;($H43-1),0,IF($G43=S$28,1,IF(SUM($J43:R43)=0,0,1))))*S$30</f>
        <v>#N/A</v>
      </c>
      <c r="T43" s="320" t="e">
        <f ca="1">(IF(SUM($J43:S43)&gt;($H43-1),0,IF($G43=T$28,1,IF(SUM($J43:S43)=0,0,1))))*T$30</f>
        <v>#N/A</v>
      </c>
      <c r="U43" s="321" t="e">
        <f ca="1">(IF(SUM($J43:T43)&gt;($H43-1),0,IF($G43=U$28,1,IF(SUM($J43:T43)=0,0,1))))*U$30</f>
        <v>#N/A</v>
      </c>
      <c r="V43" s="319" t="e">
        <f ca="1">(IF(SUM($J43:U43)&gt;($H43-1),0,IF($G43=V$28,1,IF(SUM($J43:U43)=0,0,1))))*V$30</f>
        <v>#N/A</v>
      </c>
      <c r="W43" s="320" t="e">
        <f ca="1">(IF(SUM($J43:V43)&gt;($H43-1),0,IF($G43=W$28,1,IF(SUM($J43:V43)=0,0,1))))*W$30</f>
        <v>#N/A</v>
      </c>
      <c r="X43" s="320" t="e">
        <f ca="1">(IF(SUM($J43:W43)&gt;($H43-1),0,IF($G43=X$28,1,IF(SUM($J43:W43)=0,0,1))))*X$30</f>
        <v>#N/A</v>
      </c>
      <c r="Y43" s="320" t="e">
        <f ca="1">(IF(SUM($J43:X43)&gt;($H43-1),0,IF($G43=Y$28,1,IF(SUM($J43:X43)=0,0,1))))*Y$30</f>
        <v>#N/A</v>
      </c>
      <c r="Z43" s="320" t="e">
        <f ca="1">(IF(SUM($J43:Y43)&gt;($H43-1),0,IF($G43=Z$28,1,IF(SUM($J43:Y43)=0,0,1))))*Z$30</f>
        <v>#N/A</v>
      </c>
      <c r="AA43" s="320" t="e">
        <f ca="1">(IF(SUM($J43:Z43)&gt;($H43-1),0,IF($G43=AA$28,1,IF(SUM($J43:Z43)=0,0,1))))*AA$30</f>
        <v>#N/A</v>
      </c>
      <c r="AB43" s="320" t="e">
        <f ca="1">(IF(SUM($J43:AA43)&gt;($H43-1),0,IF($G43=AB$28,1,IF(SUM($J43:AA43)=0,0,1))))*AB$30</f>
        <v>#N/A</v>
      </c>
      <c r="AC43" s="320" t="e">
        <f ca="1">(IF(SUM($J43:AB43)&gt;($H43-1),0,IF($G43=AC$28,1,IF(SUM($J43:AB43)=0,0,1))))*AC$30</f>
        <v>#N/A</v>
      </c>
      <c r="AD43" s="320" t="e">
        <f ca="1">(IF(SUM($J43:AC43)&gt;($H43-1),0,IF($G43=AD$28,1,IF(SUM($J43:AC43)=0,0,1))))*AD$30</f>
        <v>#N/A</v>
      </c>
      <c r="AE43" s="320" t="e">
        <f ca="1">(IF(SUM($J43:AD43)&gt;($H43-1),0,IF($G43=AE$28,1,IF(SUM($J43:AD43)=0,0,1))))*AE$30</f>
        <v>#N/A</v>
      </c>
      <c r="AF43" s="320" t="e">
        <f ca="1">(IF(SUM($J43:AE43)&gt;($H43-1),0,IF($G43=AF$28,1,IF(SUM($J43:AE43)=0,0,1))))*AF$30</f>
        <v>#N/A</v>
      </c>
      <c r="AG43" s="321" t="e">
        <f ca="1">(IF(SUM($J43:AF43)&gt;($H43-1),0,IF($G43=AG$28,1,IF(SUM($J43:AF43)=0,0,1))))*AG$30</f>
        <v>#N/A</v>
      </c>
      <c r="AH43" s="319" t="e">
        <f ca="1">(IF(SUM($J43:AG43)&gt;($H43-1),0,IF($G43=AH$28,1,IF(SUM($J43:AG43)=0,0,1))))*AH$30</f>
        <v>#N/A</v>
      </c>
      <c r="AI43" s="320" t="e">
        <f ca="1">(IF(SUM($J43:AH43)&gt;($H43-1),0,IF($G43=AI$28,1,IF(SUM($J43:AH43)=0,0,1))))*AI$30</f>
        <v>#N/A</v>
      </c>
      <c r="AJ43" s="320" t="e">
        <f ca="1">(IF(SUM($J43:AI43)&gt;($H43-1),0,IF($G43=AJ$28,1,IF(SUM($J43:AI43)=0,0,1))))*AJ$30</f>
        <v>#N/A</v>
      </c>
      <c r="AK43" s="320" t="e">
        <f ca="1">(IF(SUM($J43:AJ43)&gt;($H43-1),0,IF($G43=AK$28,1,IF(SUM($J43:AJ43)=0,0,1))))*AK$30</f>
        <v>#N/A</v>
      </c>
      <c r="AL43" s="320" t="e">
        <f ca="1">(IF(SUM($J43:AK43)&gt;($H43-1),0,IF($G43=AL$28,1,IF(SUM($J43:AK43)=0,0,1))))*AL$30</f>
        <v>#N/A</v>
      </c>
      <c r="AM43" s="320" t="e">
        <f ca="1">(IF(SUM($J43:AL43)&gt;($H43-1),0,IF($G43=AM$28,1,IF(SUM($J43:AL43)=0,0,1))))*AM$30</f>
        <v>#N/A</v>
      </c>
      <c r="AN43" s="320" t="e">
        <f ca="1">(IF(SUM($J43:AM43)&gt;($H43-1),0,IF($G43=AN$28,1,IF(SUM($J43:AM43)=0,0,1))))*AN$30</f>
        <v>#N/A</v>
      </c>
      <c r="AO43" s="320" t="e">
        <f ca="1">(IF(SUM($J43:AN43)&gt;($H43-1),0,IF($G43=AO$28,1,IF(SUM($J43:AN43)=0,0,1))))*AO$30</f>
        <v>#N/A</v>
      </c>
      <c r="AP43" s="320" t="e">
        <f ca="1">(IF(SUM($J43:AO43)&gt;($H43-1),0,IF($G43=AP$28,1,IF(SUM($J43:AO43)=0,0,1))))*AP$30</f>
        <v>#N/A</v>
      </c>
      <c r="AQ43" s="320" t="e">
        <f ca="1">(IF(SUM($J43:AP43)&gt;($H43-1),0,IF($G43=AQ$28,1,IF(SUM($J43:AP43)=0,0,1))))*AQ$30</f>
        <v>#N/A</v>
      </c>
      <c r="AR43" s="320" t="e">
        <f ca="1">(IF(SUM($J43:AQ43)&gt;($H43-1),0,IF($G43=AR$28,1,IF(SUM($J43:AQ43)=0,0,1))))*AR$30</f>
        <v>#N/A</v>
      </c>
      <c r="AS43" s="321" t="e">
        <f ca="1">(IF(SUM($J43:AR43)&gt;($H43-1),0,IF($G43=AS$28,1,IF(SUM($J43:AR43)=0,0,1))))*AS$30</f>
        <v>#N/A</v>
      </c>
      <c r="AT43" s="319" t="e">
        <f ca="1">(IF(SUM($J43:AS43)&gt;($H43-1),0,IF($G43=AT$28,1,IF(SUM($J43:AS43)=0,0,1))))*AT$30</f>
        <v>#N/A</v>
      </c>
      <c r="AU43" s="320" t="e">
        <f ca="1">(IF(SUM($J43:AT43)&gt;($H43-1),0,IF($G43=AU$28,1,IF(SUM($J43:AT43)=0,0,1))))*AU$30</f>
        <v>#N/A</v>
      </c>
      <c r="AV43" s="320" t="e">
        <f ca="1">(IF(SUM($J43:AU43)&gt;($H43-1),0,IF($G43=AV$28,1,IF(SUM($J43:AU43)=0,0,1))))*AV$30</f>
        <v>#N/A</v>
      </c>
      <c r="AW43" s="320" t="e">
        <f ca="1">(IF(SUM($J43:AV43)&gt;($H43-1),0,IF($G43=AW$28,1,IF(SUM($J43:AV43)=0,0,1))))*AW$30</f>
        <v>#N/A</v>
      </c>
      <c r="AX43" s="320" t="e">
        <f ca="1">(IF(SUM($J43:AW43)&gt;($H43-1),0,IF($G43=AX$28,1,IF(SUM($J43:AW43)=0,0,1))))*AX$30</f>
        <v>#N/A</v>
      </c>
      <c r="AY43" s="320" t="e">
        <f ca="1">(IF(SUM($J43:AX43)&gt;($H43-1),0,IF($G43=AY$28,1,IF(SUM($J43:AX43)=0,0,1))))*AY$30</f>
        <v>#N/A</v>
      </c>
      <c r="AZ43" s="320" t="e">
        <f ca="1">(IF(SUM($J43:AY43)&gt;($H43-1),0,IF($G43=AZ$28,1,IF(SUM($J43:AY43)=0,0,1))))*AZ$30</f>
        <v>#N/A</v>
      </c>
      <c r="BA43" s="320" t="e">
        <f ca="1">(IF(SUM($J43:AZ43)&gt;($H43-1),0,IF($G43=BA$28,1,IF(SUM($J43:AZ43)=0,0,1))))*BA$30</f>
        <v>#N/A</v>
      </c>
      <c r="BB43" s="320" t="e">
        <f ca="1">(IF(SUM($J43:BA43)&gt;($H43-1),0,IF($G43=BB$28,1,IF(SUM($J43:BA43)=0,0,1))))*BB$30</f>
        <v>#N/A</v>
      </c>
      <c r="BC43" s="320" t="e">
        <f ca="1">(IF(SUM($J43:BB43)&gt;($H43-1),0,IF($G43=BC$28,1,IF(SUM($J43:BB43)=0,0,1))))*BC$30</f>
        <v>#N/A</v>
      </c>
      <c r="BD43" s="320" t="e">
        <f ca="1">(IF(SUM($J43:BC43)&gt;($H43-1),0,IF($G43=BD$28,1,IF(SUM($J43:BC43)=0,0,1))))*BD$30</f>
        <v>#N/A</v>
      </c>
      <c r="BE43" s="321" t="e">
        <f ca="1">(IF(SUM($J43:BD43)&gt;($H43-1),0,IF($G43=BE$28,1,IF(SUM($J43:BD43)=0,0,1))))*BE$30</f>
        <v>#N/A</v>
      </c>
      <c r="BF43" s="322"/>
      <c r="BG43" s="323"/>
      <c r="BH43" s="323"/>
      <c r="BI43" s="323"/>
      <c r="BJ43" s="323"/>
      <c r="BK43" s="323"/>
      <c r="BL43" s="323"/>
      <c r="BM43" s="323"/>
      <c r="BN43" s="323"/>
      <c r="BO43" s="323"/>
      <c r="BP43" s="323"/>
      <c r="BQ43" s="323"/>
      <c r="BR43" s="323"/>
      <c r="BS43" s="323"/>
      <c r="BT43" s="323"/>
      <c r="BU43" s="323"/>
      <c r="BV43" s="323"/>
      <c r="BW43" s="323"/>
      <c r="BX43" s="323"/>
      <c r="BY43" s="323"/>
      <c r="BZ43" s="324">
        <f>I43-(SUM(BF43:BY43))</f>
        <v>0</v>
      </c>
      <c r="CA43" s="325" t="str">
        <f>IF(BZ43=0,"","Alert: FTE sum differs from the value indicated in column I")</f>
        <v/>
      </c>
      <c r="CB43" s="339">
        <f ca="1">SUM(DC43:DF43)</f>
        <v>0</v>
      </c>
      <c r="CC43" s="339">
        <v>0</v>
      </c>
      <c r="CE43" s="443">
        <f>IF(G43="",'1.G.Data'!$C$14,('1.G.Data'!$C$14-'4.Team'!G43+1))</f>
        <v>0</v>
      </c>
      <c r="CG43" s="169" t="str">
        <f t="shared" ref="CG43:CG47" si="53">+CG$34</f>
        <v/>
      </c>
      <c r="CH43" s="169" t="str">
        <f>+B43</f>
        <v>Grant 1</v>
      </c>
      <c r="CI43" s="322">
        <f ca="1">IFERROR($CB43/$I43*BF43,0)</f>
        <v>0</v>
      </c>
      <c r="CJ43" s="322">
        <f t="shared" ref="CJ43:CJ47" ca="1" si="54">IFERROR($CB43/$I43*BG43,0)</f>
        <v>0</v>
      </c>
      <c r="CK43" s="322">
        <f t="shared" ref="CK43:CK47" ca="1" si="55">IFERROR($CB43/$I43*BH43,0)</f>
        <v>0</v>
      </c>
      <c r="CL43" s="322">
        <f t="shared" ref="CL43:CL47" ca="1" si="56">IFERROR($CB43/$I43*BI43,0)</f>
        <v>0</v>
      </c>
      <c r="CM43" s="322">
        <f t="shared" ref="CM43:CM47" ca="1" si="57">IFERROR($CB43/$I43*BJ43,0)</f>
        <v>0</v>
      </c>
      <c r="CN43" s="322">
        <f t="shared" ref="CN43:CN47" ca="1" si="58">IFERROR($CB43/$I43*BK43,0)</f>
        <v>0</v>
      </c>
      <c r="CO43" s="322">
        <f t="shared" ref="CO43:CO47" ca="1" si="59">IFERROR($CB43/$I43*BL43,0)</f>
        <v>0</v>
      </c>
      <c r="CP43" s="322">
        <f t="shared" ref="CP43:CP47" ca="1" si="60">IFERROR($CB43/$I43*BM43,0)</f>
        <v>0</v>
      </c>
      <c r="CQ43" s="322">
        <f t="shared" ref="CQ43:CQ47" ca="1" si="61">IFERROR($CB43/$I43*BN43,0)</f>
        <v>0</v>
      </c>
      <c r="CR43" s="322">
        <f t="shared" ref="CR43:CR47" ca="1" si="62">IFERROR($CB43/$I43*BO43,0)</f>
        <v>0</v>
      </c>
      <c r="CS43" s="322">
        <f t="shared" ref="CS43:CS47" ca="1" si="63">IFERROR($CB43/$I43*BP43,0)</f>
        <v>0</v>
      </c>
      <c r="CT43" s="322">
        <f t="shared" ref="CT43:CT47" ca="1" si="64">IFERROR($CB43/$I43*BQ43,0)</f>
        <v>0</v>
      </c>
      <c r="CU43" s="322">
        <f t="shared" ref="CU43:CU47" ca="1" si="65">IFERROR($CB43/$I43*BR43,0)</f>
        <v>0</v>
      </c>
      <c r="CV43" s="322">
        <f t="shared" ref="CV43:CV47" ca="1" si="66">IFERROR($CB43/$I43*BS43,0)</f>
        <v>0</v>
      </c>
      <c r="CW43" s="322">
        <f t="shared" ref="CW43:CW47" ca="1" si="67">IFERROR($CB43/$I43*BT43,0)</f>
        <v>0</v>
      </c>
      <c r="CX43" s="322">
        <f t="shared" ref="CX43:CX47" ca="1" si="68">IFERROR($CB43/$I43*BU43,0)</f>
        <v>0</v>
      </c>
      <c r="CY43" s="322">
        <f t="shared" ref="CY43:CY47" ca="1" si="69">IFERROR($CB43/$I43*BV43,0)</f>
        <v>0</v>
      </c>
      <c r="CZ43" s="322">
        <f t="shared" ref="CZ43:CZ47" ca="1" si="70">IFERROR($CB43/$I43*BW43,0)</f>
        <v>0</v>
      </c>
      <c r="DA43" s="322">
        <f t="shared" ref="DA43:DA47" ca="1" si="71">IFERROR($CB43/$I43*BX43,0)</f>
        <v>0</v>
      </c>
      <c r="DB43" s="322">
        <f t="shared" ref="DB43:DB47" ca="1" si="72">IFERROR($CB43/$I43*BY43,0)</f>
        <v>0</v>
      </c>
      <c r="DC43" s="339">
        <f ca="1">ROUNDUP(CAL_BO!BV9,0)</f>
        <v>0</v>
      </c>
      <c r="DD43" s="339">
        <f ca="1">ROUNDUP(CAL_BO!BW9,0)</f>
        <v>0</v>
      </c>
      <c r="DE43" s="339">
        <f ca="1">ROUNDUP(CAL_BO!BX9,0)</f>
        <v>0</v>
      </c>
      <c r="DF43" s="339">
        <f ca="1">ROUNDUP(CAL_BO!BY9,0)</f>
        <v>0</v>
      </c>
    </row>
    <row r="44" spans="1:110">
      <c r="A44" s="169" t="s">
        <v>295</v>
      </c>
      <c r="B44" s="314" t="s">
        <v>700</v>
      </c>
      <c r="C44" s="315"/>
      <c r="D44" s="717" t="str">
        <f t="shared" si="51"/>
        <v>See FCT scholarship regulations.</v>
      </c>
      <c r="E44" s="718"/>
      <c r="F44" s="719"/>
      <c r="G44" s="326"/>
      <c r="H44" s="315"/>
      <c r="I44" s="318">
        <f t="shared" ref="I44:I47" si="73">ROUNDUP((H44),2)</f>
        <v>0</v>
      </c>
      <c r="J44" s="319">
        <f t="shared" ref="J44:J47" ca="1" si="74">IF(G44="",0,IF($G44=J$29,1,0))*J$30</f>
        <v>0</v>
      </c>
      <c r="K44" s="320">
        <f t="shared" ca="1" si="52"/>
        <v>0</v>
      </c>
      <c r="L44" s="320" t="e">
        <f ca="1">(IF(SUM($J44:K44)&gt;($H44-1),0,IF($G44=L$28,1,IF(SUM($J44:K44)=0,0,1))))*L$30</f>
        <v>#N/A</v>
      </c>
      <c r="M44" s="320" t="e">
        <f ca="1">(IF(SUM($J44:L44)&gt;($H44-1),0,IF($G44=M$28,1,IF(SUM($J44:L44)=0,0,1))))*M$30</f>
        <v>#N/A</v>
      </c>
      <c r="N44" s="320" t="e">
        <f ca="1">(IF(SUM($J44:M44)&gt;($H44-1),0,IF($G44=N$28,1,IF(SUM($J44:M44)=0,0,1))))*N$30</f>
        <v>#N/A</v>
      </c>
      <c r="O44" s="320" t="e">
        <f ca="1">(IF(SUM($J44:N44)&gt;($H44-1),0,IF($G44=O$28,1,IF(SUM($J44:N44)=0,0,1))))*O$30</f>
        <v>#N/A</v>
      </c>
      <c r="P44" s="320" t="e">
        <f ca="1">(IF(SUM($J44:O44)&gt;($H44-1),0,IF($G44=P$28,1,IF(SUM($J44:O44)=0,0,1))))*P$30</f>
        <v>#N/A</v>
      </c>
      <c r="Q44" s="320" t="e">
        <f ca="1">(IF(SUM($J44:P44)&gt;($H44-1),0,IF($G44=Q$28,1,IF(SUM($J44:P44)=0,0,1))))*Q$30</f>
        <v>#N/A</v>
      </c>
      <c r="R44" s="320" t="e">
        <f ca="1">(IF(SUM($J44:Q44)&gt;($H44-1),0,IF($G44=R$28,1,IF(SUM($J44:Q44)=0,0,1))))*R$30</f>
        <v>#N/A</v>
      </c>
      <c r="S44" s="320" t="e">
        <f ca="1">(IF(SUM($J44:R44)&gt;($H44-1),0,IF($G44=S$28,1,IF(SUM($J44:R44)=0,0,1))))*S$30</f>
        <v>#N/A</v>
      </c>
      <c r="T44" s="320" t="e">
        <f ca="1">(IF(SUM($J44:S44)&gt;($H44-1),0,IF($G44=T$28,1,IF(SUM($J44:S44)=0,0,1))))*T$30</f>
        <v>#N/A</v>
      </c>
      <c r="U44" s="321" t="e">
        <f ca="1">(IF(SUM($J44:T44)&gt;($H44-1),0,IF($G44=U$28,1,IF(SUM($J44:T44)=0,0,1))))*U$30</f>
        <v>#N/A</v>
      </c>
      <c r="V44" s="319" t="e">
        <f ca="1">(IF(SUM($J44:U44)&gt;($H44-1),0,IF($G44=V$28,1,IF(SUM($J44:U44)=0,0,1))))*V$30</f>
        <v>#N/A</v>
      </c>
      <c r="W44" s="320" t="e">
        <f ca="1">(IF(SUM($J44:V44)&gt;($H44-1),0,IF($G44=W$28,1,IF(SUM($J44:V44)=0,0,1))))*W$30</f>
        <v>#N/A</v>
      </c>
      <c r="X44" s="320" t="e">
        <f ca="1">(IF(SUM($J44:W44)&gt;($H44-1),0,IF($G44=X$28,1,IF(SUM($J44:W44)=0,0,1))))*X$30</f>
        <v>#N/A</v>
      </c>
      <c r="Y44" s="320" t="e">
        <f ca="1">(IF(SUM($J44:X44)&gt;($H44-1),0,IF($G44=Y$28,1,IF(SUM($J44:X44)=0,0,1))))*Y$30</f>
        <v>#N/A</v>
      </c>
      <c r="Z44" s="320" t="e">
        <f ca="1">(IF(SUM($J44:Y44)&gt;($H44-1),0,IF($G44=Z$28,1,IF(SUM($J44:Y44)=0,0,1))))*Z$30</f>
        <v>#N/A</v>
      </c>
      <c r="AA44" s="320" t="e">
        <f ca="1">(IF(SUM($J44:Z44)&gt;($H44-1),0,IF($G44=AA$28,1,IF(SUM($J44:Z44)=0,0,1))))*AA$30</f>
        <v>#N/A</v>
      </c>
      <c r="AB44" s="320" t="e">
        <f ca="1">(IF(SUM($J44:AA44)&gt;($H44-1),0,IF($G44=AB$28,1,IF(SUM($J44:AA44)=0,0,1))))*AB$30</f>
        <v>#N/A</v>
      </c>
      <c r="AC44" s="320" t="e">
        <f ca="1">(IF(SUM($J44:AB44)&gt;($H44-1),0,IF($G44=AC$28,1,IF(SUM($J44:AB44)=0,0,1))))*AC$30</f>
        <v>#N/A</v>
      </c>
      <c r="AD44" s="320" t="e">
        <f ca="1">(IF(SUM($J44:AC44)&gt;($H44-1),0,IF($G44=AD$28,1,IF(SUM($J44:AC44)=0,0,1))))*AD$30</f>
        <v>#N/A</v>
      </c>
      <c r="AE44" s="320" t="e">
        <f ca="1">(IF(SUM($J44:AD44)&gt;($H44-1),0,IF($G44=AE$28,1,IF(SUM($J44:AD44)=0,0,1))))*AE$30</f>
        <v>#N/A</v>
      </c>
      <c r="AF44" s="320" t="e">
        <f ca="1">(IF(SUM($J44:AE44)&gt;($H44-1),0,IF($G44=AF$28,1,IF(SUM($J44:AE44)=0,0,1))))*AF$30</f>
        <v>#N/A</v>
      </c>
      <c r="AG44" s="321" t="e">
        <f ca="1">(IF(SUM($J44:AF44)&gt;($H44-1),0,IF($G44=AG$28,1,IF(SUM($J44:AF44)=0,0,1))))*AG$30</f>
        <v>#N/A</v>
      </c>
      <c r="AH44" s="319" t="e">
        <f ca="1">(IF(SUM($J44:AG44)&gt;($H44-1),0,IF($G44=AH$28,1,IF(SUM($J44:AG44)=0,0,1))))*AH$30</f>
        <v>#N/A</v>
      </c>
      <c r="AI44" s="320" t="e">
        <f ca="1">(IF(SUM($J44:AH44)&gt;($H44-1),0,IF($G44=AI$28,1,IF(SUM($J44:AH44)=0,0,1))))*AI$30</f>
        <v>#N/A</v>
      </c>
      <c r="AJ44" s="320" t="e">
        <f ca="1">(IF(SUM($J44:AI44)&gt;($H44-1),0,IF($G44=AJ$28,1,IF(SUM($J44:AI44)=0,0,1))))*AJ$30</f>
        <v>#N/A</v>
      </c>
      <c r="AK44" s="320" t="e">
        <f ca="1">(IF(SUM($J44:AJ44)&gt;($H44-1),0,IF($G44=AK$28,1,IF(SUM($J44:AJ44)=0,0,1))))*AK$30</f>
        <v>#N/A</v>
      </c>
      <c r="AL44" s="320" t="e">
        <f ca="1">(IF(SUM($J44:AK44)&gt;($H44-1),0,IF($G44=AL$28,1,IF(SUM($J44:AK44)=0,0,1))))*AL$30</f>
        <v>#N/A</v>
      </c>
      <c r="AM44" s="320" t="e">
        <f ca="1">(IF(SUM($J44:AL44)&gt;($H44-1),0,IF($G44=AM$28,1,IF(SUM($J44:AL44)=0,0,1))))*AM$30</f>
        <v>#N/A</v>
      </c>
      <c r="AN44" s="320" t="e">
        <f ca="1">(IF(SUM($J44:AM44)&gt;($H44-1),0,IF($G44=AN$28,1,IF(SUM($J44:AM44)=0,0,1))))*AN$30</f>
        <v>#N/A</v>
      </c>
      <c r="AO44" s="320" t="e">
        <f ca="1">(IF(SUM($J44:AN44)&gt;($H44-1),0,IF($G44=AO$28,1,IF(SUM($J44:AN44)=0,0,1))))*AO$30</f>
        <v>#N/A</v>
      </c>
      <c r="AP44" s="320" t="e">
        <f ca="1">(IF(SUM($J44:AO44)&gt;($H44-1),0,IF($G44=AP$28,1,IF(SUM($J44:AO44)=0,0,1))))*AP$30</f>
        <v>#N/A</v>
      </c>
      <c r="AQ44" s="320" t="e">
        <f ca="1">(IF(SUM($J44:AP44)&gt;($H44-1),0,IF($G44=AQ$28,1,IF(SUM($J44:AP44)=0,0,1))))*AQ$30</f>
        <v>#N/A</v>
      </c>
      <c r="AR44" s="320" t="e">
        <f ca="1">(IF(SUM($J44:AQ44)&gt;($H44-1),0,IF($G44=AR$28,1,IF(SUM($J44:AQ44)=0,0,1))))*AR$30</f>
        <v>#N/A</v>
      </c>
      <c r="AS44" s="321" t="e">
        <f ca="1">(IF(SUM($J44:AR44)&gt;($H44-1),0,IF($G44=AS$28,1,IF(SUM($J44:AR44)=0,0,1))))*AS$30</f>
        <v>#N/A</v>
      </c>
      <c r="AT44" s="319" t="e">
        <f ca="1">(IF(SUM($J44:AS44)&gt;($H44-1),0,IF($G44=AT$28,1,IF(SUM($J44:AS44)=0,0,1))))*AT$30</f>
        <v>#N/A</v>
      </c>
      <c r="AU44" s="320" t="e">
        <f ca="1">(IF(SUM($J44:AT44)&gt;($H44-1),0,IF($G44=AU$28,1,IF(SUM($J44:AT44)=0,0,1))))*AU$30</f>
        <v>#N/A</v>
      </c>
      <c r="AV44" s="320" t="e">
        <f ca="1">(IF(SUM($J44:AU44)&gt;($H44-1),0,IF($G44=AV$28,1,IF(SUM($J44:AU44)=0,0,1))))*AV$30</f>
        <v>#N/A</v>
      </c>
      <c r="AW44" s="320" t="e">
        <f ca="1">(IF(SUM($J44:AV44)&gt;($H44-1),0,IF($G44=AW$28,1,IF(SUM($J44:AV44)=0,0,1))))*AW$30</f>
        <v>#N/A</v>
      </c>
      <c r="AX44" s="320" t="e">
        <f ca="1">(IF(SUM($J44:AW44)&gt;($H44-1),0,IF($G44=AX$28,1,IF(SUM($J44:AW44)=0,0,1))))*AX$30</f>
        <v>#N/A</v>
      </c>
      <c r="AY44" s="320" t="e">
        <f ca="1">(IF(SUM($J44:AX44)&gt;($H44-1),0,IF($G44=AY$28,1,IF(SUM($J44:AX44)=0,0,1))))*AY$30</f>
        <v>#N/A</v>
      </c>
      <c r="AZ44" s="320" t="e">
        <f ca="1">(IF(SUM($J44:AY44)&gt;($H44-1),0,IF($G44=AZ$28,1,IF(SUM($J44:AY44)=0,0,1))))*AZ$30</f>
        <v>#N/A</v>
      </c>
      <c r="BA44" s="320" t="e">
        <f ca="1">(IF(SUM($J44:AZ44)&gt;($H44-1),0,IF($G44=BA$28,1,IF(SUM($J44:AZ44)=0,0,1))))*BA$30</f>
        <v>#N/A</v>
      </c>
      <c r="BB44" s="320" t="e">
        <f ca="1">(IF(SUM($J44:BA44)&gt;($H44-1),0,IF($G44=BB$28,1,IF(SUM($J44:BA44)=0,0,1))))*BB$30</f>
        <v>#N/A</v>
      </c>
      <c r="BC44" s="320" t="e">
        <f ca="1">(IF(SUM($J44:BB44)&gt;($H44-1),0,IF($G44=BC$28,1,IF(SUM($J44:BB44)=0,0,1))))*BC$30</f>
        <v>#N/A</v>
      </c>
      <c r="BD44" s="320" t="e">
        <f ca="1">(IF(SUM($J44:BC44)&gt;($H44-1),0,IF($G44=BD$28,1,IF(SUM($J44:BC44)=0,0,1))))*BD$30</f>
        <v>#N/A</v>
      </c>
      <c r="BE44" s="321" t="e">
        <f ca="1">(IF(SUM($J44:BD44)&gt;($H44-1),0,IF($G44=BE$28,1,IF(SUM($J44:BD44)=0,0,1))))*BE$30</f>
        <v>#N/A</v>
      </c>
      <c r="BF44" s="322"/>
      <c r="BG44" s="323"/>
      <c r="BH44" s="323"/>
      <c r="BI44" s="323"/>
      <c r="BJ44" s="323"/>
      <c r="BK44" s="323"/>
      <c r="BL44" s="323"/>
      <c r="BM44" s="323"/>
      <c r="BN44" s="323"/>
      <c r="BO44" s="323"/>
      <c r="BP44" s="323"/>
      <c r="BQ44" s="323"/>
      <c r="BR44" s="323"/>
      <c r="BS44" s="323"/>
      <c r="BT44" s="323"/>
      <c r="BU44" s="323"/>
      <c r="BV44" s="323"/>
      <c r="BW44" s="323"/>
      <c r="BX44" s="323"/>
      <c r="BY44" s="323"/>
      <c r="BZ44" s="324">
        <f t="shared" ref="BZ44:BZ47" si="75">I44-(SUM(BF44:BY44))</f>
        <v>0</v>
      </c>
      <c r="CA44" s="325" t="str">
        <f>IF(BZ44=0,"","Alert: FTE sum differs from the value indicated in column I")</f>
        <v/>
      </c>
      <c r="CB44" s="339">
        <f t="shared" ref="CB44:CB47" ca="1" si="76">SUM(DC44:DF44)</f>
        <v>0</v>
      </c>
      <c r="CC44" s="339">
        <v>0</v>
      </c>
      <c r="CE44" s="443">
        <f>IF(G44="",'1.G.Data'!$C$14,('1.G.Data'!$C$14-'4.Team'!G44+1))</f>
        <v>0</v>
      </c>
      <c r="CG44" s="169" t="str">
        <f t="shared" si="53"/>
        <v/>
      </c>
      <c r="CH44" s="169" t="str">
        <f t="shared" ref="CH44:CH47" si="77">+B44</f>
        <v>Grant 2</v>
      </c>
      <c r="CI44" s="322">
        <f t="shared" ref="CI44:CI47" ca="1" si="78">IFERROR($CB44/$I44*BF44,0)</f>
        <v>0</v>
      </c>
      <c r="CJ44" s="322">
        <f t="shared" ca="1" si="54"/>
        <v>0</v>
      </c>
      <c r="CK44" s="322">
        <f t="shared" ca="1" si="55"/>
        <v>0</v>
      </c>
      <c r="CL44" s="322">
        <f t="shared" ca="1" si="56"/>
        <v>0</v>
      </c>
      <c r="CM44" s="322">
        <f t="shared" ca="1" si="57"/>
        <v>0</v>
      </c>
      <c r="CN44" s="322">
        <f t="shared" ca="1" si="58"/>
        <v>0</v>
      </c>
      <c r="CO44" s="322">
        <f t="shared" ca="1" si="59"/>
        <v>0</v>
      </c>
      <c r="CP44" s="322">
        <f t="shared" ca="1" si="60"/>
        <v>0</v>
      </c>
      <c r="CQ44" s="322">
        <f t="shared" ca="1" si="61"/>
        <v>0</v>
      </c>
      <c r="CR44" s="322">
        <f t="shared" ca="1" si="62"/>
        <v>0</v>
      </c>
      <c r="CS44" s="322">
        <f t="shared" ca="1" si="63"/>
        <v>0</v>
      </c>
      <c r="CT44" s="322">
        <f t="shared" ca="1" si="64"/>
        <v>0</v>
      </c>
      <c r="CU44" s="322">
        <f t="shared" ca="1" si="65"/>
        <v>0</v>
      </c>
      <c r="CV44" s="322">
        <f t="shared" ca="1" si="66"/>
        <v>0</v>
      </c>
      <c r="CW44" s="322">
        <f t="shared" ca="1" si="67"/>
        <v>0</v>
      </c>
      <c r="CX44" s="322">
        <f t="shared" ca="1" si="68"/>
        <v>0</v>
      </c>
      <c r="CY44" s="322">
        <f t="shared" ca="1" si="69"/>
        <v>0</v>
      </c>
      <c r="CZ44" s="322">
        <f t="shared" ca="1" si="70"/>
        <v>0</v>
      </c>
      <c r="DA44" s="322">
        <f t="shared" ca="1" si="71"/>
        <v>0</v>
      </c>
      <c r="DB44" s="322">
        <f t="shared" ca="1" si="72"/>
        <v>0</v>
      </c>
      <c r="DC44" s="339">
        <f ca="1">ROUNDUP(CAL_BO!BV14,0)</f>
        <v>0</v>
      </c>
      <c r="DD44" s="339">
        <f ca="1">ROUNDUP(CAL_BO!BW14,0)</f>
        <v>0</v>
      </c>
      <c r="DE44" s="339">
        <f ca="1">ROUNDUP(CAL_BO!BX14,0)</f>
        <v>0</v>
      </c>
      <c r="DF44" s="339">
        <f ca="1">ROUNDUP(CAL_BO!BY14,0)</f>
        <v>0</v>
      </c>
    </row>
    <row r="45" spans="1:110">
      <c r="A45" s="169" t="s">
        <v>296</v>
      </c>
      <c r="B45" s="314" t="s">
        <v>701</v>
      </c>
      <c r="C45" s="315"/>
      <c r="D45" s="717" t="str">
        <f t="shared" si="51"/>
        <v>See FCT scholarship regulations.</v>
      </c>
      <c r="E45" s="718"/>
      <c r="F45" s="719"/>
      <c r="G45" s="326"/>
      <c r="H45" s="315"/>
      <c r="I45" s="318">
        <f t="shared" si="73"/>
        <v>0</v>
      </c>
      <c r="J45" s="319">
        <f t="shared" ca="1" si="74"/>
        <v>0</v>
      </c>
      <c r="K45" s="320">
        <f t="shared" ca="1" si="52"/>
        <v>0</v>
      </c>
      <c r="L45" s="320" t="e">
        <f ca="1">(IF(SUM($J45:K45)&gt;($H45-1),0,IF($G45=L$28,1,IF(SUM($J45:K45)=0,0,1))))*L$30</f>
        <v>#N/A</v>
      </c>
      <c r="M45" s="320" t="e">
        <f ca="1">(IF(SUM($J45:L45)&gt;($H45-1),0,IF($G45=M$28,1,IF(SUM($J45:L45)=0,0,1))))*M$30</f>
        <v>#N/A</v>
      </c>
      <c r="N45" s="320" t="e">
        <f ca="1">(IF(SUM($J45:M45)&gt;($H45-1),0,IF($G45=N$28,1,IF(SUM($J45:M45)=0,0,1))))*N$30</f>
        <v>#N/A</v>
      </c>
      <c r="O45" s="320" t="e">
        <f ca="1">(IF(SUM($J45:N45)&gt;($H45-1),0,IF($G45=O$28,1,IF(SUM($J45:N45)=0,0,1))))*O$30</f>
        <v>#N/A</v>
      </c>
      <c r="P45" s="320" t="e">
        <f ca="1">(IF(SUM($J45:O45)&gt;($H45-1),0,IF($G45=P$28,1,IF(SUM($J45:O45)=0,0,1))))*P$30</f>
        <v>#N/A</v>
      </c>
      <c r="Q45" s="320" t="e">
        <f ca="1">(IF(SUM($J45:P45)&gt;($H45-1),0,IF($G45=Q$28,1,IF(SUM($J45:P45)=0,0,1))))*Q$30</f>
        <v>#N/A</v>
      </c>
      <c r="R45" s="320" t="e">
        <f ca="1">(IF(SUM($J45:Q45)&gt;($H45-1),0,IF($G45=R$28,1,IF(SUM($J45:Q45)=0,0,1))))*R$30</f>
        <v>#N/A</v>
      </c>
      <c r="S45" s="320" t="e">
        <f ca="1">(IF(SUM($J45:R45)&gt;($H45-1),0,IF($G45=S$28,1,IF(SUM($J45:R45)=0,0,1))))*S$30</f>
        <v>#N/A</v>
      </c>
      <c r="T45" s="320" t="e">
        <f ca="1">(IF(SUM($J45:S45)&gt;($H45-1),0,IF($G45=T$28,1,IF(SUM($J45:S45)=0,0,1))))*T$30</f>
        <v>#N/A</v>
      </c>
      <c r="U45" s="321" t="e">
        <f ca="1">(IF(SUM($J45:T45)&gt;($H45-1),0,IF($G45=U$28,1,IF(SUM($J45:T45)=0,0,1))))*U$30</f>
        <v>#N/A</v>
      </c>
      <c r="V45" s="319" t="e">
        <f ca="1">(IF(SUM($J45:U45)&gt;($H45-1),0,IF($G45=V$28,1,IF(SUM($J45:U45)=0,0,1))))*V$30</f>
        <v>#N/A</v>
      </c>
      <c r="W45" s="320" t="e">
        <f ca="1">(IF(SUM($J45:V45)&gt;($H45-1),0,IF($G45=W$28,1,IF(SUM($J45:V45)=0,0,1))))*W$30</f>
        <v>#N/A</v>
      </c>
      <c r="X45" s="320" t="e">
        <f ca="1">(IF(SUM($J45:W45)&gt;($H45-1),0,IF($G45=X$28,1,IF(SUM($J45:W45)=0,0,1))))*X$30</f>
        <v>#N/A</v>
      </c>
      <c r="Y45" s="320" t="e">
        <f ca="1">(IF(SUM($J45:X45)&gt;($H45-1),0,IF($G45=Y$28,1,IF(SUM($J45:X45)=0,0,1))))*Y$30</f>
        <v>#N/A</v>
      </c>
      <c r="Z45" s="320" t="e">
        <f ca="1">(IF(SUM($J45:Y45)&gt;($H45-1),0,IF($G45=Z$28,1,IF(SUM($J45:Y45)=0,0,1))))*Z$30</f>
        <v>#N/A</v>
      </c>
      <c r="AA45" s="320" t="e">
        <f ca="1">(IF(SUM($J45:Z45)&gt;($H45-1),0,IF($G45=AA$28,1,IF(SUM($J45:Z45)=0,0,1))))*AA$30</f>
        <v>#N/A</v>
      </c>
      <c r="AB45" s="320" t="e">
        <f ca="1">(IF(SUM($J45:AA45)&gt;($H45-1),0,IF($G45=AB$28,1,IF(SUM($J45:AA45)=0,0,1))))*AB$30</f>
        <v>#N/A</v>
      </c>
      <c r="AC45" s="320" t="e">
        <f ca="1">(IF(SUM($J45:AB45)&gt;($H45-1),0,IF($G45=AC$28,1,IF(SUM($J45:AB45)=0,0,1))))*AC$30</f>
        <v>#N/A</v>
      </c>
      <c r="AD45" s="320" t="e">
        <f ca="1">(IF(SUM($J45:AC45)&gt;($H45-1),0,IF($G45=AD$28,1,IF(SUM($J45:AC45)=0,0,1))))*AD$30</f>
        <v>#N/A</v>
      </c>
      <c r="AE45" s="320" t="e">
        <f ca="1">(IF(SUM($J45:AD45)&gt;($H45-1),0,IF($G45=AE$28,1,IF(SUM($J45:AD45)=0,0,1))))*AE$30</f>
        <v>#N/A</v>
      </c>
      <c r="AF45" s="320" t="e">
        <f ca="1">(IF(SUM($J45:AE45)&gt;($H45-1),0,IF($G45=AF$28,1,IF(SUM($J45:AE45)=0,0,1))))*AF$30</f>
        <v>#N/A</v>
      </c>
      <c r="AG45" s="321" t="e">
        <f ca="1">(IF(SUM($J45:AF45)&gt;($H45-1),0,IF($G45=AG$28,1,IF(SUM($J45:AF45)=0,0,1))))*AG$30</f>
        <v>#N/A</v>
      </c>
      <c r="AH45" s="319" t="e">
        <f ca="1">(IF(SUM($J45:AG45)&gt;($H45-1),0,IF($G45=AH$28,1,IF(SUM($J45:AG45)=0,0,1))))*AH$30</f>
        <v>#N/A</v>
      </c>
      <c r="AI45" s="320" t="e">
        <f ca="1">(IF(SUM($J45:AH45)&gt;($H45-1),0,IF($G45=AI$28,1,IF(SUM($J45:AH45)=0,0,1))))*AI$30</f>
        <v>#N/A</v>
      </c>
      <c r="AJ45" s="320" t="e">
        <f ca="1">(IF(SUM($J45:AI45)&gt;($H45-1),0,IF($G45=AJ$28,1,IF(SUM($J45:AI45)=0,0,1))))*AJ$30</f>
        <v>#N/A</v>
      </c>
      <c r="AK45" s="320" t="e">
        <f ca="1">(IF(SUM($J45:AJ45)&gt;($H45-1),0,IF($G45=AK$28,1,IF(SUM($J45:AJ45)=0,0,1))))*AK$30</f>
        <v>#N/A</v>
      </c>
      <c r="AL45" s="320" t="e">
        <f ca="1">(IF(SUM($J45:AK45)&gt;($H45-1),0,IF($G45=AL$28,1,IF(SUM($J45:AK45)=0,0,1))))*AL$30</f>
        <v>#N/A</v>
      </c>
      <c r="AM45" s="320" t="e">
        <f ca="1">(IF(SUM($J45:AL45)&gt;($H45-1),0,IF($G45=AM$28,1,IF(SUM($J45:AL45)=0,0,1))))*AM$30</f>
        <v>#N/A</v>
      </c>
      <c r="AN45" s="320" t="e">
        <f ca="1">(IF(SUM($J45:AM45)&gt;($H45-1),0,IF($G45=AN$28,1,IF(SUM($J45:AM45)=0,0,1))))*AN$30</f>
        <v>#N/A</v>
      </c>
      <c r="AO45" s="320" t="e">
        <f ca="1">(IF(SUM($J45:AN45)&gt;($H45-1),0,IF($G45=AO$28,1,IF(SUM($J45:AN45)=0,0,1))))*AO$30</f>
        <v>#N/A</v>
      </c>
      <c r="AP45" s="320" t="e">
        <f ca="1">(IF(SUM($J45:AO45)&gt;($H45-1),0,IF($G45=AP$28,1,IF(SUM($J45:AO45)=0,0,1))))*AP$30</f>
        <v>#N/A</v>
      </c>
      <c r="AQ45" s="320" t="e">
        <f ca="1">(IF(SUM($J45:AP45)&gt;($H45-1),0,IF($G45=AQ$28,1,IF(SUM($J45:AP45)=0,0,1))))*AQ$30</f>
        <v>#N/A</v>
      </c>
      <c r="AR45" s="320" t="e">
        <f ca="1">(IF(SUM($J45:AQ45)&gt;($H45-1),0,IF($G45=AR$28,1,IF(SUM($J45:AQ45)=0,0,1))))*AR$30</f>
        <v>#N/A</v>
      </c>
      <c r="AS45" s="321" t="e">
        <f ca="1">(IF(SUM($J45:AR45)&gt;($H45-1),0,IF($G45=AS$28,1,IF(SUM($J45:AR45)=0,0,1))))*AS$30</f>
        <v>#N/A</v>
      </c>
      <c r="AT45" s="319" t="e">
        <f ca="1">(IF(SUM($J45:AS45)&gt;($H45-1),0,IF($G45=AT$28,1,IF(SUM($J45:AS45)=0,0,1))))*AT$30</f>
        <v>#N/A</v>
      </c>
      <c r="AU45" s="320" t="e">
        <f ca="1">(IF(SUM($J45:AT45)&gt;($H45-1),0,IF($G45=AU$28,1,IF(SUM($J45:AT45)=0,0,1))))*AU$30</f>
        <v>#N/A</v>
      </c>
      <c r="AV45" s="320" t="e">
        <f ca="1">(IF(SUM($J45:AU45)&gt;($H45-1),0,IF($G45=AV$28,1,IF(SUM($J45:AU45)=0,0,1))))*AV$30</f>
        <v>#N/A</v>
      </c>
      <c r="AW45" s="320" t="e">
        <f ca="1">(IF(SUM($J45:AV45)&gt;($H45-1),0,IF($G45=AW$28,1,IF(SUM($J45:AV45)=0,0,1))))*AW$30</f>
        <v>#N/A</v>
      </c>
      <c r="AX45" s="320" t="e">
        <f ca="1">(IF(SUM($J45:AW45)&gt;($H45-1),0,IF($G45=AX$28,1,IF(SUM($J45:AW45)=0,0,1))))*AX$30</f>
        <v>#N/A</v>
      </c>
      <c r="AY45" s="320" t="e">
        <f ca="1">(IF(SUM($J45:AX45)&gt;($H45-1),0,IF($G45=AY$28,1,IF(SUM($J45:AX45)=0,0,1))))*AY$30</f>
        <v>#N/A</v>
      </c>
      <c r="AZ45" s="320" t="e">
        <f ca="1">(IF(SUM($J45:AY45)&gt;($H45-1),0,IF($G45=AZ$28,1,IF(SUM($J45:AY45)=0,0,1))))*AZ$30</f>
        <v>#N/A</v>
      </c>
      <c r="BA45" s="320" t="e">
        <f ca="1">(IF(SUM($J45:AZ45)&gt;($H45-1),0,IF($G45=BA$28,1,IF(SUM($J45:AZ45)=0,0,1))))*BA$30</f>
        <v>#N/A</v>
      </c>
      <c r="BB45" s="320" t="e">
        <f ca="1">(IF(SUM($J45:BA45)&gt;($H45-1),0,IF($G45=BB$28,1,IF(SUM($J45:BA45)=0,0,1))))*BB$30</f>
        <v>#N/A</v>
      </c>
      <c r="BC45" s="320" t="e">
        <f ca="1">(IF(SUM($J45:BB45)&gt;($H45-1),0,IF($G45=BC$28,1,IF(SUM($J45:BB45)=0,0,1))))*BC$30</f>
        <v>#N/A</v>
      </c>
      <c r="BD45" s="320" t="e">
        <f ca="1">(IF(SUM($J45:BC45)&gt;($H45-1),0,IF($G45=BD$28,1,IF(SUM($J45:BC45)=0,0,1))))*BD$30</f>
        <v>#N/A</v>
      </c>
      <c r="BE45" s="321" t="e">
        <f ca="1">(IF(SUM($J45:BD45)&gt;($H45-1),0,IF($G45=BE$28,1,IF(SUM($J45:BD45)=0,0,1))))*BE$30</f>
        <v>#N/A</v>
      </c>
      <c r="BF45" s="322"/>
      <c r="BG45" s="323"/>
      <c r="BH45" s="323"/>
      <c r="BI45" s="323"/>
      <c r="BJ45" s="323"/>
      <c r="BK45" s="323"/>
      <c r="BL45" s="323"/>
      <c r="BM45" s="323"/>
      <c r="BN45" s="323"/>
      <c r="BO45" s="323"/>
      <c r="BP45" s="323"/>
      <c r="BQ45" s="323"/>
      <c r="BR45" s="323"/>
      <c r="BS45" s="323"/>
      <c r="BT45" s="323"/>
      <c r="BU45" s="323"/>
      <c r="BV45" s="323"/>
      <c r="BW45" s="323"/>
      <c r="BX45" s="323"/>
      <c r="BY45" s="323"/>
      <c r="BZ45" s="324">
        <f t="shared" si="75"/>
        <v>0</v>
      </c>
      <c r="CA45" s="325" t="str">
        <f>IF(BZ45=0,"","Alert: FTE sum differs from the value indicated in column I")</f>
        <v/>
      </c>
      <c r="CB45" s="339">
        <f t="shared" ca="1" si="76"/>
        <v>0</v>
      </c>
      <c r="CC45" s="339">
        <v>0</v>
      </c>
      <c r="CE45" s="443">
        <f>IF(G45="",'1.G.Data'!$C$14,('1.G.Data'!$C$14-'4.Team'!G45+1))</f>
        <v>0</v>
      </c>
      <c r="CG45" s="169" t="str">
        <f t="shared" si="53"/>
        <v/>
      </c>
      <c r="CH45" s="169" t="str">
        <f t="shared" si="77"/>
        <v>Grant 3</v>
      </c>
      <c r="CI45" s="322">
        <f t="shared" ca="1" si="78"/>
        <v>0</v>
      </c>
      <c r="CJ45" s="322">
        <f t="shared" ca="1" si="54"/>
        <v>0</v>
      </c>
      <c r="CK45" s="322">
        <f t="shared" ca="1" si="55"/>
        <v>0</v>
      </c>
      <c r="CL45" s="322">
        <f t="shared" ca="1" si="56"/>
        <v>0</v>
      </c>
      <c r="CM45" s="322">
        <f t="shared" ca="1" si="57"/>
        <v>0</v>
      </c>
      <c r="CN45" s="322">
        <f t="shared" ca="1" si="58"/>
        <v>0</v>
      </c>
      <c r="CO45" s="322">
        <f t="shared" ca="1" si="59"/>
        <v>0</v>
      </c>
      <c r="CP45" s="322">
        <f t="shared" ca="1" si="60"/>
        <v>0</v>
      </c>
      <c r="CQ45" s="322">
        <f t="shared" ca="1" si="61"/>
        <v>0</v>
      </c>
      <c r="CR45" s="322">
        <f t="shared" ca="1" si="62"/>
        <v>0</v>
      </c>
      <c r="CS45" s="322">
        <f t="shared" ca="1" si="63"/>
        <v>0</v>
      </c>
      <c r="CT45" s="322">
        <f t="shared" ca="1" si="64"/>
        <v>0</v>
      </c>
      <c r="CU45" s="322">
        <f t="shared" ca="1" si="65"/>
        <v>0</v>
      </c>
      <c r="CV45" s="322">
        <f t="shared" ca="1" si="66"/>
        <v>0</v>
      </c>
      <c r="CW45" s="322">
        <f t="shared" ca="1" si="67"/>
        <v>0</v>
      </c>
      <c r="CX45" s="322">
        <f t="shared" ca="1" si="68"/>
        <v>0</v>
      </c>
      <c r="CY45" s="322">
        <f t="shared" ca="1" si="69"/>
        <v>0</v>
      </c>
      <c r="CZ45" s="322">
        <f t="shared" ca="1" si="70"/>
        <v>0</v>
      </c>
      <c r="DA45" s="322">
        <f t="shared" ca="1" si="71"/>
        <v>0</v>
      </c>
      <c r="DB45" s="322">
        <f t="shared" ca="1" si="72"/>
        <v>0</v>
      </c>
      <c r="DC45" s="339">
        <f ca="1">ROUNDUP(CAL_BO!BV19,0)</f>
        <v>0</v>
      </c>
      <c r="DD45" s="339">
        <f ca="1">ROUNDUP(CAL_BO!BW19,0)</f>
        <v>0</v>
      </c>
      <c r="DE45" s="339">
        <f ca="1">ROUNDUP(CAL_BO!BX19,0)</f>
        <v>0</v>
      </c>
      <c r="DF45" s="339">
        <f ca="1">ROUNDUP(CAL_BO!BY19,0)</f>
        <v>0</v>
      </c>
    </row>
    <row r="46" spans="1:110">
      <c r="A46" s="169" t="s">
        <v>297</v>
      </c>
      <c r="B46" s="314" t="s">
        <v>702</v>
      </c>
      <c r="C46" s="315"/>
      <c r="D46" s="717" t="str">
        <f t="shared" si="51"/>
        <v>See FCT scholarship regulations.</v>
      </c>
      <c r="E46" s="718"/>
      <c r="F46" s="719"/>
      <c r="G46" s="326"/>
      <c r="H46" s="315"/>
      <c r="I46" s="318">
        <f t="shared" si="73"/>
        <v>0</v>
      </c>
      <c r="J46" s="319">
        <f t="shared" ca="1" si="74"/>
        <v>0</v>
      </c>
      <c r="K46" s="320">
        <f t="shared" ca="1" si="52"/>
        <v>0</v>
      </c>
      <c r="L46" s="320" t="e">
        <f ca="1">(IF(SUM($J46:K46)&gt;($H46-1),0,IF($G46=L$28,1,IF(SUM($J46:K46)=0,0,1))))*L$30</f>
        <v>#N/A</v>
      </c>
      <c r="M46" s="320" t="e">
        <f ca="1">(IF(SUM($J46:L46)&gt;($H46-1),0,IF($G46=M$28,1,IF(SUM($J46:L46)=0,0,1))))*M$30</f>
        <v>#N/A</v>
      </c>
      <c r="N46" s="320" t="e">
        <f ca="1">(IF(SUM($J46:M46)&gt;($H46-1),0,IF($G46=N$28,1,IF(SUM($J46:M46)=0,0,1))))*N$30</f>
        <v>#N/A</v>
      </c>
      <c r="O46" s="320" t="e">
        <f ca="1">(IF(SUM($J46:N46)&gt;($H46-1),0,IF($G46=O$28,1,IF(SUM($J46:N46)=0,0,1))))*O$30</f>
        <v>#N/A</v>
      </c>
      <c r="P46" s="320" t="e">
        <f ca="1">(IF(SUM($J46:O46)&gt;($H46-1),0,IF($G46=P$28,1,IF(SUM($J46:O46)=0,0,1))))*P$30</f>
        <v>#N/A</v>
      </c>
      <c r="Q46" s="320" t="e">
        <f ca="1">(IF(SUM($J46:P46)&gt;($H46-1),0,IF($G46=Q$28,1,IF(SUM($J46:P46)=0,0,1))))*Q$30</f>
        <v>#N/A</v>
      </c>
      <c r="R46" s="320" t="e">
        <f ca="1">(IF(SUM($J46:Q46)&gt;($H46-1),0,IF($G46=R$28,1,IF(SUM($J46:Q46)=0,0,1))))*R$30</f>
        <v>#N/A</v>
      </c>
      <c r="S46" s="320" t="e">
        <f ca="1">(IF(SUM($J46:R46)&gt;($H46-1),0,IF($G46=S$28,1,IF(SUM($J46:R46)=0,0,1))))*S$30</f>
        <v>#N/A</v>
      </c>
      <c r="T46" s="320" t="e">
        <f ca="1">(IF(SUM($J46:S46)&gt;($H46-1),0,IF($G46=T$28,1,IF(SUM($J46:S46)=0,0,1))))*T$30</f>
        <v>#N/A</v>
      </c>
      <c r="U46" s="321" t="e">
        <f ca="1">(IF(SUM($J46:T46)&gt;($H46-1),0,IF($G46=U$28,1,IF(SUM($J46:T46)=0,0,1))))*U$30</f>
        <v>#N/A</v>
      </c>
      <c r="V46" s="319" t="e">
        <f ca="1">(IF(SUM($J46:U46)&gt;($H46-1),0,IF($G46=V$28,1,IF(SUM($J46:U46)=0,0,1))))*V$30</f>
        <v>#N/A</v>
      </c>
      <c r="W46" s="320" t="e">
        <f ca="1">(IF(SUM($J46:V46)&gt;($H46-1),0,IF($G46=W$28,1,IF(SUM($J46:V46)=0,0,1))))*W$30</f>
        <v>#N/A</v>
      </c>
      <c r="X46" s="320" t="e">
        <f ca="1">(IF(SUM($J46:W46)&gt;($H46-1),0,IF($G46=X$28,1,IF(SUM($J46:W46)=0,0,1))))*X$30</f>
        <v>#N/A</v>
      </c>
      <c r="Y46" s="320" t="e">
        <f ca="1">(IF(SUM($J46:X46)&gt;($H46-1),0,IF($G46=Y$28,1,IF(SUM($J46:X46)=0,0,1))))*Y$30</f>
        <v>#N/A</v>
      </c>
      <c r="Z46" s="320" t="e">
        <f ca="1">(IF(SUM($J46:Y46)&gt;($H46-1),0,IF($G46=Z$28,1,IF(SUM($J46:Y46)=0,0,1))))*Z$30</f>
        <v>#N/A</v>
      </c>
      <c r="AA46" s="320" t="e">
        <f ca="1">(IF(SUM($J46:Z46)&gt;($H46-1),0,IF($G46=AA$28,1,IF(SUM($J46:Z46)=0,0,1))))*AA$30</f>
        <v>#N/A</v>
      </c>
      <c r="AB46" s="320" t="e">
        <f ca="1">(IF(SUM($J46:AA46)&gt;($H46-1),0,IF($G46=AB$28,1,IF(SUM($J46:AA46)=0,0,1))))*AB$30</f>
        <v>#N/A</v>
      </c>
      <c r="AC46" s="320" t="e">
        <f ca="1">(IF(SUM($J46:AB46)&gt;($H46-1),0,IF($G46=AC$28,1,IF(SUM($J46:AB46)=0,0,1))))*AC$30</f>
        <v>#N/A</v>
      </c>
      <c r="AD46" s="320" t="e">
        <f ca="1">(IF(SUM($J46:AC46)&gt;($H46-1),0,IF($G46=AD$28,1,IF(SUM($J46:AC46)=0,0,1))))*AD$30</f>
        <v>#N/A</v>
      </c>
      <c r="AE46" s="320" t="e">
        <f ca="1">(IF(SUM($J46:AD46)&gt;($H46-1),0,IF($G46=AE$28,1,IF(SUM($J46:AD46)=0,0,1))))*AE$30</f>
        <v>#N/A</v>
      </c>
      <c r="AF46" s="320" t="e">
        <f ca="1">(IF(SUM($J46:AE46)&gt;($H46-1),0,IF($G46=AF$28,1,IF(SUM($J46:AE46)=0,0,1))))*AF$30</f>
        <v>#N/A</v>
      </c>
      <c r="AG46" s="321" t="e">
        <f ca="1">(IF(SUM($J46:AF46)&gt;($H46-1),0,IF($G46=AG$28,1,IF(SUM($J46:AF46)=0,0,1))))*AG$30</f>
        <v>#N/A</v>
      </c>
      <c r="AH46" s="319" t="e">
        <f ca="1">(IF(SUM($J46:AG46)&gt;($H46-1),0,IF($G46=AH$28,1,IF(SUM($J46:AG46)=0,0,1))))*AH$30</f>
        <v>#N/A</v>
      </c>
      <c r="AI46" s="320" t="e">
        <f ca="1">(IF(SUM($J46:AH46)&gt;($H46-1),0,IF($G46=AI$28,1,IF(SUM($J46:AH46)=0,0,1))))*AI$30</f>
        <v>#N/A</v>
      </c>
      <c r="AJ46" s="320" t="e">
        <f ca="1">(IF(SUM($J46:AI46)&gt;($H46-1),0,IF($G46=AJ$28,1,IF(SUM($J46:AI46)=0,0,1))))*AJ$30</f>
        <v>#N/A</v>
      </c>
      <c r="AK46" s="320" t="e">
        <f ca="1">(IF(SUM($J46:AJ46)&gt;($H46-1),0,IF($G46=AK$28,1,IF(SUM($J46:AJ46)=0,0,1))))*AK$30</f>
        <v>#N/A</v>
      </c>
      <c r="AL46" s="320" t="e">
        <f ca="1">(IF(SUM($J46:AK46)&gt;($H46-1),0,IF($G46=AL$28,1,IF(SUM($J46:AK46)=0,0,1))))*AL$30</f>
        <v>#N/A</v>
      </c>
      <c r="AM46" s="320" t="e">
        <f ca="1">(IF(SUM($J46:AL46)&gt;($H46-1),0,IF($G46=AM$28,1,IF(SUM($J46:AL46)=0,0,1))))*AM$30</f>
        <v>#N/A</v>
      </c>
      <c r="AN46" s="320" t="e">
        <f ca="1">(IF(SUM($J46:AM46)&gt;($H46-1),0,IF($G46=AN$28,1,IF(SUM($J46:AM46)=0,0,1))))*AN$30</f>
        <v>#N/A</v>
      </c>
      <c r="AO46" s="320" t="e">
        <f ca="1">(IF(SUM($J46:AN46)&gt;($H46-1),0,IF($G46=AO$28,1,IF(SUM($J46:AN46)=0,0,1))))*AO$30</f>
        <v>#N/A</v>
      </c>
      <c r="AP46" s="320" t="e">
        <f ca="1">(IF(SUM($J46:AO46)&gt;($H46-1),0,IF($G46=AP$28,1,IF(SUM($J46:AO46)=0,0,1))))*AP$30</f>
        <v>#N/A</v>
      </c>
      <c r="AQ46" s="320" t="e">
        <f ca="1">(IF(SUM($J46:AP46)&gt;($H46-1),0,IF($G46=AQ$28,1,IF(SUM($J46:AP46)=0,0,1))))*AQ$30</f>
        <v>#N/A</v>
      </c>
      <c r="AR46" s="320" t="e">
        <f ca="1">(IF(SUM($J46:AQ46)&gt;($H46-1),0,IF($G46=AR$28,1,IF(SUM($J46:AQ46)=0,0,1))))*AR$30</f>
        <v>#N/A</v>
      </c>
      <c r="AS46" s="321" t="e">
        <f ca="1">(IF(SUM($J46:AR46)&gt;($H46-1),0,IF($G46=AS$28,1,IF(SUM($J46:AR46)=0,0,1))))*AS$30</f>
        <v>#N/A</v>
      </c>
      <c r="AT46" s="319" t="e">
        <f ca="1">(IF(SUM($J46:AS46)&gt;($H46-1),0,IF($G46=AT$28,1,IF(SUM($J46:AS46)=0,0,1))))*AT$30</f>
        <v>#N/A</v>
      </c>
      <c r="AU46" s="320" t="e">
        <f ca="1">(IF(SUM($J46:AT46)&gt;($H46-1),0,IF($G46=AU$28,1,IF(SUM($J46:AT46)=0,0,1))))*AU$30</f>
        <v>#N/A</v>
      </c>
      <c r="AV46" s="320" t="e">
        <f ca="1">(IF(SUM($J46:AU46)&gt;($H46-1),0,IF($G46=AV$28,1,IF(SUM($J46:AU46)=0,0,1))))*AV$30</f>
        <v>#N/A</v>
      </c>
      <c r="AW46" s="320" t="e">
        <f ca="1">(IF(SUM($J46:AV46)&gt;($H46-1),0,IF($G46=AW$28,1,IF(SUM($J46:AV46)=0,0,1))))*AW$30</f>
        <v>#N/A</v>
      </c>
      <c r="AX46" s="320" t="e">
        <f ca="1">(IF(SUM($J46:AW46)&gt;($H46-1),0,IF($G46=AX$28,1,IF(SUM($J46:AW46)=0,0,1))))*AX$30</f>
        <v>#N/A</v>
      </c>
      <c r="AY46" s="320" t="e">
        <f ca="1">(IF(SUM($J46:AX46)&gt;($H46-1),0,IF($G46=AY$28,1,IF(SUM($J46:AX46)=0,0,1))))*AY$30</f>
        <v>#N/A</v>
      </c>
      <c r="AZ46" s="320" t="e">
        <f ca="1">(IF(SUM($J46:AY46)&gt;($H46-1),0,IF($G46=AZ$28,1,IF(SUM($J46:AY46)=0,0,1))))*AZ$30</f>
        <v>#N/A</v>
      </c>
      <c r="BA46" s="320" t="e">
        <f ca="1">(IF(SUM($J46:AZ46)&gt;($H46-1),0,IF($G46=BA$28,1,IF(SUM($J46:AZ46)=0,0,1))))*BA$30</f>
        <v>#N/A</v>
      </c>
      <c r="BB46" s="320" t="e">
        <f ca="1">(IF(SUM($J46:BA46)&gt;($H46-1),0,IF($G46=BB$28,1,IF(SUM($J46:BA46)=0,0,1))))*BB$30</f>
        <v>#N/A</v>
      </c>
      <c r="BC46" s="320" t="e">
        <f ca="1">(IF(SUM($J46:BB46)&gt;($H46-1),0,IF($G46=BC$28,1,IF(SUM($J46:BB46)=0,0,1))))*BC$30</f>
        <v>#N/A</v>
      </c>
      <c r="BD46" s="320" t="e">
        <f ca="1">(IF(SUM($J46:BC46)&gt;($H46-1),0,IF($G46=BD$28,1,IF(SUM($J46:BC46)=0,0,1))))*BD$30</f>
        <v>#N/A</v>
      </c>
      <c r="BE46" s="321" t="e">
        <f ca="1">(IF(SUM($J46:BD46)&gt;($H46-1),0,IF($G46=BE$28,1,IF(SUM($J46:BD46)=0,0,1))))*BE$30</f>
        <v>#N/A</v>
      </c>
      <c r="BF46" s="322"/>
      <c r="BG46" s="323"/>
      <c r="BH46" s="323"/>
      <c r="BI46" s="323"/>
      <c r="BJ46" s="323"/>
      <c r="BK46" s="323"/>
      <c r="BL46" s="323"/>
      <c r="BM46" s="323"/>
      <c r="BN46" s="323"/>
      <c r="BO46" s="323"/>
      <c r="BP46" s="323"/>
      <c r="BQ46" s="323"/>
      <c r="BR46" s="323"/>
      <c r="BS46" s="323"/>
      <c r="BT46" s="323"/>
      <c r="BU46" s="323"/>
      <c r="BV46" s="323"/>
      <c r="BW46" s="323"/>
      <c r="BX46" s="323"/>
      <c r="BY46" s="323"/>
      <c r="BZ46" s="324">
        <f t="shared" si="75"/>
        <v>0</v>
      </c>
      <c r="CA46" s="325" t="str">
        <f>IF(BZ46=0,"","Alert: FTE sum differs from the value indicated in column I")</f>
        <v/>
      </c>
      <c r="CB46" s="339">
        <f t="shared" ca="1" si="76"/>
        <v>0</v>
      </c>
      <c r="CC46" s="339">
        <v>0</v>
      </c>
      <c r="CE46" s="443">
        <f>IF(G46="",'1.G.Data'!$C$14,('1.G.Data'!$C$14-'4.Team'!G46+1))</f>
        <v>0</v>
      </c>
      <c r="CG46" s="169" t="str">
        <f t="shared" si="53"/>
        <v/>
      </c>
      <c r="CH46" s="169" t="str">
        <f t="shared" si="77"/>
        <v>Grant 4</v>
      </c>
      <c r="CI46" s="322">
        <f t="shared" ca="1" si="78"/>
        <v>0</v>
      </c>
      <c r="CJ46" s="322">
        <f t="shared" ca="1" si="54"/>
        <v>0</v>
      </c>
      <c r="CK46" s="322">
        <f t="shared" ca="1" si="55"/>
        <v>0</v>
      </c>
      <c r="CL46" s="322">
        <f t="shared" ca="1" si="56"/>
        <v>0</v>
      </c>
      <c r="CM46" s="322">
        <f t="shared" ca="1" si="57"/>
        <v>0</v>
      </c>
      <c r="CN46" s="322">
        <f t="shared" ca="1" si="58"/>
        <v>0</v>
      </c>
      <c r="CO46" s="322">
        <f t="shared" ca="1" si="59"/>
        <v>0</v>
      </c>
      <c r="CP46" s="322">
        <f t="shared" ca="1" si="60"/>
        <v>0</v>
      </c>
      <c r="CQ46" s="322">
        <f t="shared" ca="1" si="61"/>
        <v>0</v>
      </c>
      <c r="CR46" s="322">
        <f t="shared" ca="1" si="62"/>
        <v>0</v>
      </c>
      <c r="CS46" s="322">
        <f t="shared" ca="1" si="63"/>
        <v>0</v>
      </c>
      <c r="CT46" s="322">
        <f t="shared" ca="1" si="64"/>
        <v>0</v>
      </c>
      <c r="CU46" s="322">
        <f t="shared" ca="1" si="65"/>
        <v>0</v>
      </c>
      <c r="CV46" s="322">
        <f t="shared" ca="1" si="66"/>
        <v>0</v>
      </c>
      <c r="CW46" s="322">
        <f t="shared" ca="1" si="67"/>
        <v>0</v>
      </c>
      <c r="CX46" s="322">
        <f t="shared" ca="1" si="68"/>
        <v>0</v>
      </c>
      <c r="CY46" s="322">
        <f t="shared" ca="1" si="69"/>
        <v>0</v>
      </c>
      <c r="CZ46" s="322">
        <f t="shared" ca="1" si="70"/>
        <v>0</v>
      </c>
      <c r="DA46" s="322">
        <f t="shared" ca="1" si="71"/>
        <v>0</v>
      </c>
      <c r="DB46" s="322">
        <f t="shared" ca="1" si="72"/>
        <v>0</v>
      </c>
      <c r="DC46" s="339">
        <f ca="1">ROUNDUP(CAL_BO!BV24,0)</f>
        <v>0</v>
      </c>
      <c r="DD46" s="339">
        <f ca="1">ROUNDUP(CAL_BO!BW24,0)</f>
        <v>0</v>
      </c>
      <c r="DE46" s="339">
        <f ca="1">ROUNDUP(CAL_BO!BX24,0)</f>
        <v>0</v>
      </c>
      <c r="DF46" s="339">
        <f ca="1">ROUNDUP(CAL_BO!BY24,0)</f>
        <v>0</v>
      </c>
    </row>
    <row r="47" spans="1:110">
      <c r="A47" s="169" t="s">
        <v>298</v>
      </c>
      <c r="B47" s="314" t="s">
        <v>703</v>
      </c>
      <c r="C47" s="315"/>
      <c r="D47" s="717" t="str">
        <f t="shared" si="51"/>
        <v>See FCT scholarship regulations.</v>
      </c>
      <c r="E47" s="718"/>
      <c r="F47" s="719"/>
      <c r="G47" s="326"/>
      <c r="H47" s="315"/>
      <c r="I47" s="318">
        <f t="shared" si="73"/>
        <v>0</v>
      </c>
      <c r="J47" s="319">
        <f t="shared" ca="1" si="74"/>
        <v>0</v>
      </c>
      <c r="K47" s="320">
        <f t="shared" ca="1" si="52"/>
        <v>0</v>
      </c>
      <c r="L47" s="320" t="e">
        <f ca="1">(IF(SUM($J47:K47)&gt;($H47-1),0,IF($G47=L$28,1,IF(SUM($J47:K47)=0,0,1))))*L$30</f>
        <v>#N/A</v>
      </c>
      <c r="M47" s="320" t="e">
        <f ca="1">(IF(SUM($J47:L47)&gt;($H47-1),0,IF($G47=M$28,1,IF(SUM($J47:L47)=0,0,1))))*M$30</f>
        <v>#N/A</v>
      </c>
      <c r="N47" s="320" t="e">
        <f ca="1">(IF(SUM($J47:M47)&gt;($H47-1),0,IF($G47=N$28,1,IF(SUM($J47:M47)=0,0,1))))*N$30</f>
        <v>#N/A</v>
      </c>
      <c r="O47" s="320" t="e">
        <f ca="1">(IF(SUM($J47:N47)&gt;($H47-1),0,IF($G47=O$28,1,IF(SUM($J47:N47)=0,0,1))))*O$30</f>
        <v>#N/A</v>
      </c>
      <c r="P47" s="320" t="e">
        <f ca="1">(IF(SUM($J47:O47)&gt;($H47-1),0,IF($G47=P$28,1,IF(SUM($J47:O47)=0,0,1))))*P$30</f>
        <v>#N/A</v>
      </c>
      <c r="Q47" s="320" t="e">
        <f ca="1">(IF(SUM($J47:P47)&gt;($H47-1),0,IF($G47=Q$28,1,IF(SUM($J47:P47)=0,0,1))))*Q$30</f>
        <v>#N/A</v>
      </c>
      <c r="R47" s="320" t="e">
        <f ca="1">(IF(SUM($J47:Q47)&gt;($H47-1),0,IF($G47=R$28,1,IF(SUM($J47:Q47)=0,0,1))))*R$30</f>
        <v>#N/A</v>
      </c>
      <c r="S47" s="320" t="e">
        <f ca="1">(IF(SUM($J47:R47)&gt;($H47-1),0,IF($G47=S$28,1,IF(SUM($J47:R47)=0,0,1))))*S$30</f>
        <v>#N/A</v>
      </c>
      <c r="T47" s="320" t="e">
        <f ca="1">(IF(SUM($J47:S47)&gt;($H47-1),0,IF($G47=T$28,1,IF(SUM($J47:S47)=0,0,1))))*T$30</f>
        <v>#N/A</v>
      </c>
      <c r="U47" s="321" t="e">
        <f ca="1">(IF(SUM($J47:T47)&gt;($H47-1),0,IF($G47=U$28,1,IF(SUM($J47:T47)=0,0,1))))*U$30</f>
        <v>#N/A</v>
      </c>
      <c r="V47" s="319" t="e">
        <f ca="1">(IF(SUM($J47:U47)&gt;($H47-1),0,IF($G47=V$28,1,IF(SUM($J47:U47)=0,0,1))))*V$30</f>
        <v>#N/A</v>
      </c>
      <c r="W47" s="320" t="e">
        <f ca="1">(IF(SUM($J47:V47)&gt;($H47-1),0,IF($G47=W$28,1,IF(SUM($J47:V47)=0,0,1))))*W$30</f>
        <v>#N/A</v>
      </c>
      <c r="X47" s="320" t="e">
        <f ca="1">(IF(SUM($J47:W47)&gt;($H47-1),0,IF($G47=X$28,1,IF(SUM($J47:W47)=0,0,1))))*X$30</f>
        <v>#N/A</v>
      </c>
      <c r="Y47" s="320" t="e">
        <f ca="1">(IF(SUM($J47:X47)&gt;($H47-1),0,IF($G47=Y$28,1,IF(SUM($J47:X47)=0,0,1))))*Y$30</f>
        <v>#N/A</v>
      </c>
      <c r="Z47" s="320" t="e">
        <f ca="1">(IF(SUM($J47:Y47)&gt;($H47-1),0,IF($G47=Z$28,1,IF(SUM($J47:Y47)=0,0,1))))*Z$30</f>
        <v>#N/A</v>
      </c>
      <c r="AA47" s="320" t="e">
        <f ca="1">(IF(SUM($J47:Z47)&gt;($H47-1),0,IF($G47=AA$28,1,IF(SUM($J47:Z47)=0,0,1))))*AA$30</f>
        <v>#N/A</v>
      </c>
      <c r="AB47" s="320" t="e">
        <f ca="1">(IF(SUM($J47:AA47)&gt;($H47-1),0,IF($G47=AB$28,1,IF(SUM($J47:AA47)=0,0,1))))*AB$30</f>
        <v>#N/A</v>
      </c>
      <c r="AC47" s="320" t="e">
        <f ca="1">(IF(SUM($J47:AB47)&gt;($H47-1),0,IF($G47=AC$28,1,IF(SUM($J47:AB47)=0,0,1))))*AC$30</f>
        <v>#N/A</v>
      </c>
      <c r="AD47" s="320" t="e">
        <f ca="1">(IF(SUM($J47:AC47)&gt;($H47-1),0,IF($G47=AD$28,1,IF(SUM($J47:AC47)=0,0,1))))*AD$30</f>
        <v>#N/A</v>
      </c>
      <c r="AE47" s="320" t="e">
        <f ca="1">(IF(SUM($J47:AD47)&gt;($H47-1),0,IF($G47=AE$28,1,IF(SUM($J47:AD47)=0,0,1))))*AE$30</f>
        <v>#N/A</v>
      </c>
      <c r="AF47" s="320" t="e">
        <f ca="1">(IF(SUM($J47:AE47)&gt;($H47-1),0,IF($G47=AF$28,1,IF(SUM($J47:AE47)=0,0,1))))*AF$30</f>
        <v>#N/A</v>
      </c>
      <c r="AG47" s="321" t="e">
        <f ca="1">(IF(SUM($J47:AF47)&gt;($H47-1),0,IF($G47=AG$28,1,IF(SUM($J47:AF47)=0,0,1))))*AG$30</f>
        <v>#N/A</v>
      </c>
      <c r="AH47" s="319" t="e">
        <f ca="1">(IF(SUM($J47:AG47)&gt;($H47-1),0,IF($G47=AH$28,1,IF(SUM($J47:AG47)=0,0,1))))*AH$30</f>
        <v>#N/A</v>
      </c>
      <c r="AI47" s="320" t="e">
        <f ca="1">(IF(SUM($J47:AH47)&gt;($H47-1),0,IF($G47=AI$28,1,IF(SUM($J47:AH47)=0,0,1))))*AI$30</f>
        <v>#N/A</v>
      </c>
      <c r="AJ47" s="320" t="e">
        <f ca="1">(IF(SUM($J47:AI47)&gt;($H47-1),0,IF($G47=AJ$28,1,IF(SUM($J47:AI47)=0,0,1))))*AJ$30</f>
        <v>#N/A</v>
      </c>
      <c r="AK47" s="320" t="e">
        <f ca="1">(IF(SUM($J47:AJ47)&gt;($H47-1),0,IF($G47=AK$28,1,IF(SUM($J47:AJ47)=0,0,1))))*AK$30</f>
        <v>#N/A</v>
      </c>
      <c r="AL47" s="320" t="e">
        <f ca="1">(IF(SUM($J47:AK47)&gt;($H47-1),0,IF($G47=AL$28,1,IF(SUM($J47:AK47)=0,0,1))))*AL$30</f>
        <v>#N/A</v>
      </c>
      <c r="AM47" s="320" t="e">
        <f ca="1">(IF(SUM($J47:AL47)&gt;($H47-1),0,IF($G47=AM$28,1,IF(SUM($J47:AL47)=0,0,1))))*AM$30</f>
        <v>#N/A</v>
      </c>
      <c r="AN47" s="320" t="e">
        <f ca="1">(IF(SUM($J47:AM47)&gt;($H47-1),0,IF($G47=AN$28,1,IF(SUM($J47:AM47)=0,0,1))))*AN$30</f>
        <v>#N/A</v>
      </c>
      <c r="AO47" s="320" t="e">
        <f ca="1">(IF(SUM($J47:AN47)&gt;($H47-1),0,IF($G47=AO$28,1,IF(SUM($J47:AN47)=0,0,1))))*AO$30</f>
        <v>#N/A</v>
      </c>
      <c r="AP47" s="320" t="e">
        <f ca="1">(IF(SUM($J47:AO47)&gt;($H47-1),0,IF($G47=AP$28,1,IF(SUM($J47:AO47)=0,0,1))))*AP$30</f>
        <v>#N/A</v>
      </c>
      <c r="AQ47" s="320" t="e">
        <f ca="1">(IF(SUM($J47:AP47)&gt;($H47-1),0,IF($G47=AQ$28,1,IF(SUM($J47:AP47)=0,0,1))))*AQ$30</f>
        <v>#N/A</v>
      </c>
      <c r="AR47" s="320" t="e">
        <f ca="1">(IF(SUM($J47:AQ47)&gt;($H47-1),0,IF($G47=AR$28,1,IF(SUM($J47:AQ47)=0,0,1))))*AR$30</f>
        <v>#N/A</v>
      </c>
      <c r="AS47" s="321" t="e">
        <f ca="1">(IF(SUM($J47:AR47)&gt;($H47-1),0,IF($G47=AS$28,1,IF(SUM($J47:AR47)=0,0,1))))*AS$30</f>
        <v>#N/A</v>
      </c>
      <c r="AT47" s="319" t="e">
        <f ca="1">(IF(SUM($J47:AS47)&gt;($H47-1),0,IF($G47=AT$28,1,IF(SUM($J47:AS47)=0,0,1))))*AT$30</f>
        <v>#N/A</v>
      </c>
      <c r="AU47" s="320" t="e">
        <f ca="1">(IF(SUM($J47:AT47)&gt;($H47-1),0,IF($G47=AU$28,1,IF(SUM($J47:AT47)=0,0,1))))*AU$30</f>
        <v>#N/A</v>
      </c>
      <c r="AV47" s="320" t="e">
        <f ca="1">(IF(SUM($J47:AU47)&gt;($H47-1),0,IF($G47=AV$28,1,IF(SUM($J47:AU47)=0,0,1))))*AV$30</f>
        <v>#N/A</v>
      </c>
      <c r="AW47" s="320" t="e">
        <f ca="1">(IF(SUM($J47:AV47)&gt;($H47-1),0,IF($G47=AW$28,1,IF(SUM($J47:AV47)=0,0,1))))*AW$30</f>
        <v>#N/A</v>
      </c>
      <c r="AX47" s="320" t="e">
        <f ca="1">(IF(SUM($J47:AW47)&gt;($H47-1),0,IF($G47=AX$28,1,IF(SUM($J47:AW47)=0,0,1))))*AX$30</f>
        <v>#N/A</v>
      </c>
      <c r="AY47" s="320" t="e">
        <f ca="1">(IF(SUM($J47:AX47)&gt;($H47-1),0,IF($G47=AY$28,1,IF(SUM($J47:AX47)=0,0,1))))*AY$30</f>
        <v>#N/A</v>
      </c>
      <c r="AZ47" s="320" t="e">
        <f ca="1">(IF(SUM($J47:AY47)&gt;($H47-1),0,IF($G47=AZ$28,1,IF(SUM($J47:AY47)=0,0,1))))*AZ$30</f>
        <v>#N/A</v>
      </c>
      <c r="BA47" s="320" t="e">
        <f ca="1">(IF(SUM($J47:AZ47)&gt;($H47-1),0,IF($G47=BA$28,1,IF(SUM($J47:AZ47)=0,0,1))))*BA$30</f>
        <v>#N/A</v>
      </c>
      <c r="BB47" s="320" t="e">
        <f ca="1">(IF(SUM($J47:BA47)&gt;($H47-1),0,IF($G47=BB$28,1,IF(SUM($J47:BA47)=0,0,1))))*BB$30</f>
        <v>#N/A</v>
      </c>
      <c r="BC47" s="320" t="e">
        <f ca="1">(IF(SUM($J47:BB47)&gt;($H47-1),0,IF($G47=BC$28,1,IF(SUM($J47:BB47)=0,0,1))))*BC$30</f>
        <v>#N/A</v>
      </c>
      <c r="BD47" s="320" t="e">
        <f ca="1">(IF(SUM($J47:BC47)&gt;($H47-1),0,IF($G47=BD$28,1,IF(SUM($J47:BC47)=0,0,1))))*BD$30</f>
        <v>#N/A</v>
      </c>
      <c r="BE47" s="321" t="e">
        <f ca="1">(IF(SUM($J47:BD47)&gt;($H47-1),0,IF($G47=BE$28,1,IF(SUM($J47:BD47)=0,0,1))))*BE$30</f>
        <v>#N/A</v>
      </c>
      <c r="BF47" s="322"/>
      <c r="BG47" s="323"/>
      <c r="BH47" s="323"/>
      <c r="BI47" s="323"/>
      <c r="BJ47" s="323"/>
      <c r="BK47" s="323"/>
      <c r="BL47" s="323"/>
      <c r="BM47" s="323"/>
      <c r="BN47" s="323"/>
      <c r="BO47" s="323"/>
      <c r="BP47" s="323"/>
      <c r="BQ47" s="323"/>
      <c r="BR47" s="323"/>
      <c r="BS47" s="323"/>
      <c r="BT47" s="323"/>
      <c r="BU47" s="323"/>
      <c r="BV47" s="323"/>
      <c r="BW47" s="323"/>
      <c r="BX47" s="323"/>
      <c r="BY47" s="323"/>
      <c r="BZ47" s="324">
        <f t="shared" si="75"/>
        <v>0</v>
      </c>
      <c r="CA47" s="325" t="str">
        <f>IF(BZ47=0,"","Alert: FTE sum differs from the value indicated in column I")</f>
        <v/>
      </c>
      <c r="CB47" s="339">
        <f t="shared" ca="1" si="76"/>
        <v>0</v>
      </c>
      <c r="CC47" s="339">
        <v>0</v>
      </c>
      <c r="CE47" s="443">
        <f>IF(G47="",'1.G.Data'!$C$14,('1.G.Data'!$C$14-'4.Team'!G47+1))</f>
        <v>0</v>
      </c>
      <c r="CG47" s="169" t="str">
        <f t="shared" si="53"/>
        <v/>
      </c>
      <c r="CH47" s="169" t="str">
        <f t="shared" si="77"/>
        <v>Grant 5</v>
      </c>
      <c r="CI47" s="322">
        <f t="shared" ca="1" si="78"/>
        <v>0</v>
      </c>
      <c r="CJ47" s="322">
        <f t="shared" ca="1" si="54"/>
        <v>0</v>
      </c>
      <c r="CK47" s="322">
        <f t="shared" ca="1" si="55"/>
        <v>0</v>
      </c>
      <c r="CL47" s="322">
        <f t="shared" ca="1" si="56"/>
        <v>0</v>
      </c>
      <c r="CM47" s="322">
        <f t="shared" ca="1" si="57"/>
        <v>0</v>
      </c>
      <c r="CN47" s="322">
        <f t="shared" ca="1" si="58"/>
        <v>0</v>
      </c>
      <c r="CO47" s="322">
        <f t="shared" ca="1" si="59"/>
        <v>0</v>
      </c>
      <c r="CP47" s="322">
        <f t="shared" ca="1" si="60"/>
        <v>0</v>
      </c>
      <c r="CQ47" s="322">
        <f t="shared" ca="1" si="61"/>
        <v>0</v>
      </c>
      <c r="CR47" s="322">
        <f t="shared" ca="1" si="62"/>
        <v>0</v>
      </c>
      <c r="CS47" s="322">
        <f t="shared" ca="1" si="63"/>
        <v>0</v>
      </c>
      <c r="CT47" s="322">
        <f t="shared" ca="1" si="64"/>
        <v>0</v>
      </c>
      <c r="CU47" s="322">
        <f t="shared" ca="1" si="65"/>
        <v>0</v>
      </c>
      <c r="CV47" s="322">
        <f t="shared" ca="1" si="66"/>
        <v>0</v>
      </c>
      <c r="CW47" s="322">
        <f t="shared" ca="1" si="67"/>
        <v>0</v>
      </c>
      <c r="CX47" s="322">
        <f t="shared" ca="1" si="68"/>
        <v>0</v>
      </c>
      <c r="CY47" s="322">
        <f t="shared" ca="1" si="69"/>
        <v>0</v>
      </c>
      <c r="CZ47" s="322">
        <f t="shared" ca="1" si="70"/>
        <v>0</v>
      </c>
      <c r="DA47" s="322">
        <f t="shared" ca="1" si="71"/>
        <v>0</v>
      </c>
      <c r="DB47" s="322">
        <f t="shared" ca="1" si="72"/>
        <v>0</v>
      </c>
      <c r="DC47" s="339">
        <f ca="1">ROUNDUP(CAL_BO!BV29,0)</f>
        <v>0</v>
      </c>
      <c r="DD47" s="339">
        <f ca="1">ROUNDUP(CAL_BO!BW29,0)</f>
        <v>0</v>
      </c>
      <c r="DE47" s="339">
        <f ca="1">ROUNDUP(CAL_BO!BX29,0)</f>
        <v>0</v>
      </c>
      <c r="DF47" s="339">
        <f ca="1">ROUNDUP(CAL_BO!BY29,0)</f>
        <v>0</v>
      </c>
    </row>
    <row r="48" spans="1:110">
      <c r="J48" s="457">
        <v>9</v>
      </c>
      <c r="K48" s="457">
        <v>10</v>
      </c>
      <c r="L48" s="457">
        <v>11</v>
      </c>
      <c r="M48" s="457">
        <v>12</v>
      </c>
      <c r="N48" s="457">
        <v>13</v>
      </c>
      <c r="O48" s="457">
        <v>14</v>
      </c>
      <c r="P48" s="457">
        <v>15</v>
      </c>
      <c r="Q48" s="457">
        <v>16</v>
      </c>
      <c r="R48" s="457">
        <v>17</v>
      </c>
      <c r="S48" s="457">
        <v>18</v>
      </c>
      <c r="T48" s="457">
        <v>19</v>
      </c>
      <c r="U48" s="457">
        <v>20</v>
      </c>
      <c r="V48" s="457">
        <v>21</v>
      </c>
      <c r="W48" s="457">
        <v>22</v>
      </c>
      <c r="X48" s="457">
        <v>23</v>
      </c>
      <c r="Y48" s="457">
        <v>24</v>
      </c>
      <c r="Z48" s="457">
        <v>25</v>
      </c>
      <c r="AA48" s="457">
        <v>26</v>
      </c>
      <c r="AB48" s="457">
        <v>27</v>
      </c>
      <c r="AC48" s="457">
        <v>28</v>
      </c>
      <c r="AD48" s="457">
        <v>29</v>
      </c>
      <c r="AE48" s="457">
        <v>30</v>
      </c>
      <c r="AF48" s="457">
        <v>31</v>
      </c>
      <c r="AG48" s="457">
        <v>32</v>
      </c>
      <c r="AH48" s="457">
        <v>33</v>
      </c>
      <c r="AI48" s="457">
        <v>34</v>
      </c>
      <c r="AJ48" s="457">
        <v>35</v>
      </c>
      <c r="AK48" s="457">
        <v>36</v>
      </c>
      <c r="AL48" s="457">
        <v>37</v>
      </c>
      <c r="AM48" s="457">
        <v>38</v>
      </c>
      <c r="AN48" s="457">
        <v>39</v>
      </c>
      <c r="AO48" s="457">
        <v>40</v>
      </c>
      <c r="AP48" s="457">
        <v>41</v>
      </c>
      <c r="AQ48" s="457">
        <v>42</v>
      </c>
      <c r="AR48" s="457">
        <v>43</v>
      </c>
      <c r="AS48" s="457">
        <v>44</v>
      </c>
      <c r="AT48" s="457">
        <v>45</v>
      </c>
      <c r="AU48" s="457">
        <v>46</v>
      </c>
      <c r="AV48" s="457">
        <v>47</v>
      </c>
      <c r="AW48" s="457">
        <v>48</v>
      </c>
      <c r="AX48" s="457">
        <v>49</v>
      </c>
      <c r="AY48" s="457">
        <v>50</v>
      </c>
      <c r="AZ48" s="457">
        <v>51</v>
      </c>
      <c r="BA48" s="457">
        <v>52</v>
      </c>
      <c r="BB48" s="457">
        <v>53</v>
      </c>
      <c r="BC48" s="457">
        <v>54</v>
      </c>
      <c r="BD48" s="457">
        <v>55</v>
      </c>
      <c r="BE48" s="457">
        <v>56</v>
      </c>
      <c r="BF48" s="328">
        <f>IF(BF42="S/T",0,VLOOKUP(BF42,'3.Tasks'!$A$4:$I$23,9,FALSE))</f>
        <v>0</v>
      </c>
      <c r="BG48" s="328">
        <f>IF(BG42="S/T",0,VLOOKUP(BG42,'3.Tasks'!$A$4:$I$23,9,FALSE))</f>
        <v>0</v>
      </c>
      <c r="BH48" s="328">
        <f>IF(BH42="S/T",0,VLOOKUP(BH42,'3.Tasks'!$A$4:$I$23,9,FALSE))</f>
        <v>0</v>
      </c>
      <c r="BI48" s="328">
        <f>IF(BI42="S/T",0,VLOOKUP(BI42,'3.Tasks'!$A$4:$I$23,9,FALSE))</f>
        <v>0</v>
      </c>
      <c r="BJ48" s="328">
        <f>IF(BJ42="S/T",0,VLOOKUP(BJ42,'3.Tasks'!$A$4:$I$23,9,FALSE))</f>
        <v>0</v>
      </c>
      <c r="BK48" s="328">
        <f>IF(BK42="S/T",0,VLOOKUP(BK42,'3.Tasks'!$A$4:$I$23,9,FALSE))</f>
        <v>0</v>
      </c>
      <c r="BL48" s="328">
        <f>IF(BL42="S/T",0,VLOOKUP(BL42,'3.Tasks'!$A$4:$I$23,9,FALSE))</f>
        <v>0</v>
      </c>
      <c r="BM48" s="328">
        <f>IF(BM42="S/T",0,VLOOKUP(BM42,'3.Tasks'!$A$4:$I$23,9,FALSE))</f>
        <v>0</v>
      </c>
      <c r="BN48" s="328">
        <f>IF(BN42="S/T",0,VLOOKUP(BN42,'3.Tasks'!$A$4:$I$23,9,FALSE))</f>
        <v>0</v>
      </c>
      <c r="BO48" s="328">
        <f>IF(BO42="S/T",0,VLOOKUP(BO42,'3.Tasks'!$A$4:$I$23,9,FALSE))</f>
        <v>0</v>
      </c>
      <c r="BP48" s="328">
        <f>IF(BP42="S/T",0,VLOOKUP(BP42,'3.Tasks'!$A$4:$I$23,9,FALSE))</f>
        <v>0</v>
      </c>
      <c r="BQ48" s="328">
        <f>IF(BQ42="S/T",0,VLOOKUP(BQ42,'3.Tasks'!$A$4:$I$23,9,FALSE))</f>
        <v>0</v>
      </c>
      <c r="BR48" s="328">
        <f>IF(BR42="S/T",0,VLOOKUP(BR42,'3.Tasks'!$A$4:$I$23,9,FALSE))</f>
        <v>0</v>
      </c>
      <c r="BS48" s="328">
        <f>IF(BS42="S/T",0,VLOOKUP(BS42,'3.Tasks'!$A$4:$I$23,9,FALSE))</f>
        <v>0</v>
      </c>
      <c r="BT48" s="328">
        <f>IF(BT42="S/T",0,VLOOKUP(BT42,'3.Tasks'!$A$4:$I$23,9,FALSE))</f>
        <v>0</v>
      </c>
      <c r="BU48" s="328">
        <f>IF(BU42="S/T",0,VLOOKUP(BU42,'3.Tasks'!$A$4:$I$23,9,FALSE))</f>
        <v>0</v>
      </c>
      <c r="BV48" s="328">
        <f>IF(BV42="S/T",0,VLOOKUP(BV42,'3.Tasks'!$A$4:$I$23,9,FALSE))</f>
        <v>0</v>
      </c>
      <c r="BW48" s="328">
        <f>IF(BW42="S/T",0,VLOOKUP(BW42,'3.Tasks'!$A$4:$I$23,9,FALSE))</f>
        <v>0</v>
      </c>
      <c r="BX48" s="328">
        <f>IF(BX42="S/T",0,VLOOKUP(BX42,'3.Tasks'!$A$4:$I$23,9,FALSE))</f>
        <v>0</v>
      </c>
      <c r="BY48" s="328">
        <f>IF(BY42="S/T",0,VLOOKUP(BY42,'3.Tasks'!$A$4:$I$23,9,FALSE))</f>
        <v>0</v>
      </c>
      <c r="CB48" s="345">
        <f ca="1">SUM(CB43:CB47)</f>
        <v>0</v>
      </c>
      <c r="CC48" s="345">
        <v>0</v>
      </c>
      <c r="CD48" s="345">
        <v>0</v>
      </c>
      <c r="CE48" s="345">
        <v>0</v>
      </c>
      <c r="CF48" s="345">
        <v>0</v>
      </c>
      <c r="CG48" s="345">
        <v>0</v>
      </c>
      <c r="CH48" s="345">
        <v>0</v>
      </c>
      <c r="CI48" s="345">
        <v>0</v>
      </c>
      <c r="CJ48" s="345">
        <v>0</v>
      </c>
      <c r="CK48" s="345">
        <v>0</v>
      </c>
      <c r="CL48" s="345">
        <v>0</v>
      </c>
      <c r="CM48" s="345">
        <v>0</v>
      </c>
      <c r="CN48" s="345">
        <v>0</v>
      </c>
      <c r="CO48" s="345">
        <v>0</v>
      </c>
      <c r="CP48" s="345">
        <v>0</v>
      </c>
      <c r="CQ48" s="345">
        <v>0</v>
      </c>
      <c r="CR48" s="345">
        <v>0</v>
      </c>
      <c r="CS48" s="345">
        <v>0</v>
      </c>
      <c r="CT48" s="345">
        <v>0</v>
      </c>
      <c r="CU48" s="345">
        <v>0</v>
      </c>
      <c r="CV48" s="345">
        <v>0</v>
      </c>
      <c r="CW48" s="345">
        <v>0</v>
      </c>
      <c r="CX48" s="345">
        <v>0</v>
      </c>
      <c r="CY48" s="345">
        <v>0</v>
      </c>
      <c r="CZ48" s="345">
        <v>0</v>
      </c>
      <c r="DA48" s="345">
        <v>0</v>
      </c>
      <c r="DB48" s="345">
        <v>0</v>
      </c>
      <c r="DC48" s="345">
        <f ca="1">SUM(DC43:DC47)</f>
        <v>0</v>
      </c>
      <c r="DD48" s="345">
        <f t="shared" ref="DD48:DF48" ca="1" si="79">SUM(DD43:DD47)</f>
        <v>0</v>
      </c>
      <c r="DE48" s="345">
        <f t="shared" ca="1" si="79"/>
        <v>0</v>
      </c>
      <c r="DF48" s="345">
        <f t="shared" ca="1" si="79"/>
        <v>0</v>
      </c>
    </row>
    <row r="49" spans="2:110" hidden="1">
      <c r="B49" s="346"/>
      <c r="G49" s="727" t="s">
        <v>913</v>
      </c>
      <c r="H49" s="728" t="s">
        <v>818</v>
      </c>
      <c r="I49" s="728"/>
      <c r="J49" s="319">
        <f ca="1">VLOOKUP($H49,'3.Tasks'!$B$4:$BE$23,J$48,FALSE)</f>
        <v>0</v>
      </c>
      <c r="K49" s="320">
        <f ca="1">VLOOKUP($H49,'3.Tasks'!$B$4:$BE$23,K$48,FALSE)</f>
        <v>0</v>
      </c>
      <c r="L49" s="320" t="e">
        <f ca="1">VLOOKUP($H49,'3.Tasks'!$B$4:$BE$23,L$48,FALSE)</f>
        <v>#N/A</v>
      </c>
      <c r="M49" s="320" t="e">
        <f ca="1">VLOOKUP($H49,'3.Tasks'!$B$4:$BE$23,M$48,FALSE)</f>
        <v>#N/A</v>
      </c>
      <c r="N49" s="320" t="e">
        <f ca="1">VLOOKUP($H49,'3.Tasks'!$B$4:$BE$23,N$48,FALSE)</f>
        <v>#N/A</v>
      </c>
      <c r="O49" s="320" t="e">
        <f ca="1">VLOOKUP($H49,'3.Tasks'!$B$4:$BE$23,O$48,FALSE)</f>
        <v>#N/A</v>
      </c>
      <c r="P49" s="320" t="e">
        <f ca="1">VLOOKUP($H49,'3.Tasks'!$B$4:$BE$23,P$48,FALSE)</f>
        <v>#N/A</v>
      </c>
      <c r="Q49" s="320" t="e">
        <f ca="1">VLOOKUP($H49,'3.Tasks'!$B$4:$BE$23,Q$48,FALSE)</f>
        <v>#N/A</v>
      </c>
      <c r="R49" s="320" t="e">
        <f ca="1">VLOOKUP($H49,'3.Tasks'!$B$4:$BE$23,R$48,FALSE)</f>
        <v>#N/A</v>
      </c>
      <c r="S49" s="320" t="e">
        <f ca="1">VLOOKUP($H49,'3.Tasks'!$B$4:$BE$23,S$48,FALSE)</f>
        <v>#N/A</v>
      </c>
      <c r="T49" s="320" t="e">
        <f ca="1">VLOOKUP($H49,'3.Tasks'!$B$4:$BE$23,T$48,FALSE)</f>
        <v>#N/A</v>
      </c>
      <c r="U49" s="321" t="e">
        <f ca="1">VLOOKUP($H49,'3.Tasks'!$B$4:$BE$23,U$48,FALSE)</f>
        <v>#N/A</v>
      </c>
      <c r="V49" s="319" t="e">
        <f ca="1">VLOOKUP($H49,'3.Tasks'!$B$4:$BE$23,V$48,FALSE)</f>
        <v>#N/A</v>
      </c>
      <c r="W49" s="320" t="e">
        <f ca="1">VLOOKUP($H49,'3.Tasks'!$B$4:$BE$23,W$48,FALSE)</f>
        <v>#N/A</v>
      </c>
      <c r="X49" s="320" t="e">
        <f ca="1">VLOOKUP($H49,'3.Tasks'!$B$4:$BE$23,X$48,FALSE)</f>
        <v>#N/A</v>
      </c>
      <c r="Y49" s="320" t="e">
        <f ca="1">VLOOKUP($H49,'3.Tasks'!$B$4:$BE$23,Y$48,FALSE)</f>
        <v>#N/A</v>
      </c>
      <c r="Z49" s="320" t="e">
        <f ca="1">VLOOKUP($H49,'3.Tasks'!$B$4:$BE$23,Z$48,FALSE)</f>
        <v>#N/A</v>
      </c>
      <c r="AA49" s="320" t="e">
        <f ca="1">VLOOKUP($H49,'3.Tasks'!$B$4:$BE$23,AA$48,FALSE)</f>
        <v>#N/A</v>
      </c>
      <c r="AB49" s="320" t="e">
        <f ca="1">VLOOKUP($H49,'3.Tasks'!$B$4:$BE$23,AB$48,FALSE)</f>
        <v>#N/A</v>
      </c>
      <c r="AC49" s="320" t="e">
        <f ca="1">VLOOKUP($H49,'3.Tasks'!$B$4:$BE$23,AC$48,FALSE)</f>
        <v>#N/A</v>
      </c>
      <c r="AD49" s="320" t="e">
        <f ca="1">VLOOKUP($H49,'3.Tasks'!$B$4:$BE$23,AD$48,FALSE)</f>
        <v>#N/A</v>
      </c>
      <c r="AE49" s="320" t="e">
        <f ca="1">VLOOKUP($H49,'3.Tasks'!$B$4:$BE$23,AE$48,FALSE)</f>
        <v>#N/A</v>
      </c>
      <c r="AF49" s="320" t="e">
        <f ca="1">VLOOKUP($H49,'3.Tasks'!$B$4:$BE$23,AF$48,FALSE)</f>
        <v>#N/A</v>
      </c>
      <c r="AG49" s="321" t="e">
        <f ca="1">VLOOKUP($H49,'3.Tasks'!$B$4:$BE$23,AG$48,FALSE)</f>
        <v>#N/A</v>
      </c>
      <c r="AH49" s="319" t="e">
        <f ca="1">VLOOKUP($H49,'3.Tasks'!$B$4:$BE$23,AH$48,FALSE)</f>
        <v>#N/A</v>
      </c>
      <c r="AI49" s="320" t="e">
        <f ca="1">VLOOKUP($H49,'3.Tasks'!$B$4:$BE$23,AI$48,FALSE)</f>
        <v>#N/A</v>
      </c>
      <c r="AJ49" s="320" t="e">
        <f ca="1">VLOOKUP($H49,'3.Tasks'!$B$4:$BE$23,AJ$48,FALSE)</f>
        <v>#N/A</v>
      </c>
      <c r="AK49" s="320" t="e">
        <f ca="1">VLOOKUP($H49,'3.Tasks'!$B$4:$BE$23,AK$48,FALSE)</f>
        <v>#N/A</v>
      </c>
      <c r="AL49" s="320" t="e">
        <f ca="1">VLOOKUP($H49,'3.Tasks'!$B$4:$BE$23,AL$48,FALSE)</f>
        <v>#N/A</v>
      </c>
      <c r="AM49" s="320" t="e">
        <f ca="1">VLOOKUP($H49,'3.Tasks'!$B$4:$BE$23,AM$48,FALSE)</f>
        <v>#N/A</v>
      </c>
      <c r="AN49" s="320" t="e">
        <f ca="1">VLOOKUP($H49,'3.Tasks'!$B$4:$BE$23,AN$48,FALSE)</f>
        <v>#N/A</v>
      </c>
      <c r="AO49" s="320" t="e">
        <f ca="1">VLOOKUP($H49,'3.Tasks'!$B$4:$BE$23,AO$48,FALSE)</f>
        <v>#N/A</v>
      </c>
      <c r="AP49" s="320" t="e">
        <f ca="1">VLOOKUP($H49,'3.Tasks'!$B$4:$BE$23,AP$48,FALSE)</f>
        <v>#N/A</v>
      </c>
      <c r="AQ49" s="320" t="e">
        <f ca="1">VLOOKUP($H49,'3.Tasks'!$B$4:$BE$23,AQ$48,FALSE)</f>
        <v>#N/A</v>
      </c>
      <c r="AR49" s="320" t="e">
        <f ca="1">VLOOKUP($H49,'3.Tasks'!$B$4:$BE$23,AR$48,FALSE)</f>
        <v>#N/A</v>
      </c>
      <c r="AS49" s="321" t="e">
        <f ca="1">VLOOKUP($H49,'3.Tasks'!$B$4:$BE$23,AS$48,FALSE)</f>
        <v>#N/A</v>
      </c>
      <c r="AT49" s="319" t="e">
        <f ca="1">VLOOKUP($H49,'3.Tasks'!$B$4:$BE$23,AT$48,FALSE)</f>
        <v>#N/A</v>
      </c>
      <c r="AU49" s="320" t="e">
        <f ca="1">VLOOKUP($H49,'3.Tasks'!$B$4:$BE$23,AU$48,FALSE)</f>
        <v>#N/A</v>
      </c>
      <c r="AV49" s="320" t="e">
        <f ca="1">VLOOKUP($H49,'3.Tasks'!$B$4:$BE$23,AV$48,FALSE)</f>
        <v>#N/A</v>
      </c>
      <c r="AW49" s="320" t="e">
        <f ca="1">VLOOKUP($H49,'3.Tasks'!$B$4:$BE$23,AW$48,FALSE)</f>
        <v>#N/A</v>
      </c>
      <c r="AX49" s="320" t="e">
        <f ca="1">VLOOKUP($H49,'3.Tasks'!$B$4:$BE$23,AX$48,FALSE)</f>
        <v>#N/A</v>
      </c>
      <c r="AY49" s="320" t="e">
        <f ca="1">VLOOKUP($H49,'3.Tasks'!$B$4:$BE$23,AY$48,FALSE)</f>
        <v>#N/A</v>
      </c>
      <c r="AZ49" s="320" t="e">
        <f ca="1">VLOOKUP($H49,'3.Tasks'!$B$4:$BE$23,AZ$48,FALSE)</f>
        <v>#N/A</v>
      </c>
      <c r="BA49" s="320" t="e">
        <f ca="1">VLOOKUP($H49,'3.Tasks'!$B$4:$BE$23,BA$48,FALSE)</f>
        <v>#N/A</v>
      </c>
      <c r="BB49" s="320" t="e">
        <f ca="1">VLOOKUP($H49,'3.Tasks'!$B$4:$BE$23,BB$48,FALSE)</f>
        <v>#N/A</v>
      </c>
      <c r="BC49" s="320" t="e">
        <f ca="1">VLOOKUP($H49,'3.Tasks'!$B$4:$BE$23,BC$48,FALSE)</f>
        <v>#N/A</v>
      </c>
      <c r="BD49" s="320" t="e">
        <f ca="1">VLOOKUP($H49,'3.Tasks'!$B$4:$BE$23,BD$48,FALSE)</f>
        <v>#N/A</v>
      </c>
      <c r="BE49" s="321" t="e">
        <f ca="1">VLOOKUP($H49,'3.Tasks'!$B$4:$BE$23,BE$48,FALSE)</f>
        <v>#N/A</v>
      </c>
      <c r="BF49" s="366">
        <f>SUM(BF43:BF47)</f>
        <v>0</v>
      </c>
      <c r="BG49" s="366">
        <f t="shared" ref="BG49:BY49" si="80">SUM(BG43:BG47)</f>
        <v>0</v>
      </c>
      <c r="BH49" s="366">
        <f t="shared" si="80"/>
        <v>0</v>
      </c>
      <c r="BI49" s="366">
        <f t="shared" si="80"/>
        <v>0</v>
      </c>
      <c r="BJ49" s="366">
        <f t="shared" si="80"/>
        <v>0</v>
      </c>
      <c r="BK49" s="366">
        <f t="shared" si="80"/>
        <v>0</v>
      </c>
      <c r="BL49" s="366">
        <f t="shared" si="80"/>
        <v>0</v>
      </c>
      <c r="BM49" s="366">
        <f t="shared" si="80"/>
        <v>0</v>
      </c>
      <c r="BN49" s="366">
        <f t="shared" si="80"/>
        <v>0</v>
      </c>
      <c r="BO49" s="366">
        <f t="shared" si="80"/>
        <v>0</v>
      </c>
      <c r="BP49" s="366">
        <f t="shared" si="80"/>
        <v>0</v>
      </c>
      <c r="BQ49" s="366">
        <f t="shared" si="80"/>
        <v>0</v>
      </c>
      <c r="BR49" s="366">
        <f t="shared" si="80"/>
        <v>0</v>
      </c>
      <c r="BS49" s="366">
        <f t="shared" si="80"/>
        <v>0</v>
      </c>
      <c r="BT49" s="366">
        <f t="shared" si="80"/>
        <v>0</v>
      </c>
      <c r="BU49" s="366">
        <f t="shared" si="80"/>
        <v>0</v>
      </c>
      <c r="BV49" s="366">
        <f t="shared" si="80"/>
        <v>0</v>
      </c>
      <c r="BW49" s="366">
        <f t="shared" si="80"/>
        <v>0</v>
      </c>
      <c r="BX49" s="366">
        <f t="shared" si="80"/>
        <v>0</v>
      </c>
      <c r="BY49" s="366">
        <f t="shared" si="80"/>
        <v>0</v>
      </c>
      <c r="CI49" s="328" t="e">
        <f ca="1">IF(CI43="S/T",0,VLOOKUP(CI43,'3.Tasks'!$A$4:$I$23,9,FALSE))</f>
        <v>#N/A</v>
      </c>
      <c r="CJ49" s="328" t="e">
        <f ca="1">IF(CJ43="S/T",0,VLOOKUP(CJ43,'3.Tasks'!$A$4:$I$23,9,FALSE))</f>
        <v>#N/A</v>
      </c>
      <c r="CK49" s="328" t="e">
        <f ca="1">IF(CK43="S/T",0,VLOOKUP(CK43,'3.Tasks'!$A$4:$I$23,9,FALSE))</f>
        <v>#N/A</v>
      </c>
      <c r="CL49" s="328" t="e">
        <f ca="1">IF(CL43="S/T",0,VLOOKUP(CL43,'3.Tasks'!$A$4:$I$23,9,FALSE))</f>
        <v>#N/A</v>
      </c>
      <c r="CM49" s="328" t="e">
        <f ca="1">IF(CM43="S/T",0,VLOOKUP(CM43,'3.Tasks'!$A$4:$I$23,9,FALSE))</f>
        <v>#N/A</v>
      </c>
      <c r="CN49" s="328" t="e">
        <f ca="1">IF(CN43="S/T",0,VLOOKUP(CN43,'3.Tasks'!$A$4:$I$23,9,FALSE))</f>
        <v>#N/A</v>
      </c>
      <c r="CO49" s="328" t="e">
        <f ca="1">IF(CO43="S/T",0,VLOOKUP(CO43,'3.Tasks'!$A$4:$I$23,9,FALSE))</f>
        <v>#N/A</v>
      </c>
      <c r="CP49" s="328" t="e">
        <f ca="1">IF(CP43="S/T",0,VLOOKUP(CP43,'3.Tasks'!$A$4:$I$23,9,FALSE))</f>
        <v>#N/A</v>
      </c>
      <c r="CQ49" s="328" t="e">
        <f ca="1">IF(CQ43="S/T",0,VLOOKUP(CQ43,'3.Tasks'!$A$4:$I$23,9,FALSE))</f>
        <v>#N/A</v>
      </c>
      <c r="CR49" s="328" t="e">
        <f ca="1">IF(CR43="S/T",0,VLOOKUP(CR43,'3.Tasks'!$A$4:$I$23,9,FALSE))</f>
        <v>#N/A</v>
      </c>
      <c r="CS49" s="328" t="e">
        <f ca="1">IF(CS43="S/T",0,VLOOKUP(CS43,'3.Tasks'!$A$4:$I$23,9,FALSE))</f>
        <v>#N/A</v>
      </c>
      <c r="CT49" s="328" t="e">
        <f ca="1">IF(CT43="S/T",0,VLOOKUP(CT43,'3.Tasks'!$A$4:$I$23,9,FALSE))</f>
        <v>#N/A</v>
      </c>
      <c r="CU49" s="328" t="e">
        <f ca="1">IF(CU43="S/T",0,VLOOKUP(CU43,'3.Tasks'!$A$4:$I$23,9,FALSE))</f>
        <v>#N/A</v>
      </c>
      <c r="CV49" s="328" t="e">
        <f ca="1">IF(CV43="S/T",0,VLOOKUP(CV43,'3.Tasks'!$A$4:$I$23,9,FALSE))</f>
        <v>#N/A</v>
      </c>
      <c r="CW49" s="328" t="e">
        <f ca="1">IF(CW43="S/T",0,VLOOKUP(CW43,'3.Tasks'!$A$4:$I$23,9,FALSE))</f>
        <v>#N/A</v>
      </c>
      <c r="CX49" s="328" t="e">
        <f ca="1">IF(CX43="S/T",0,VLOOKUP(CX43,'3.Tasks'!$A$4:$I$23,9,FALSE))</f>
        <v>#N/A</v>
      </c>
      <c r="CY49" s="328" t="e">
        <f ca="1">IF(CY43="S/T",0,VLOOKUP(CY43,'3.Tasks'!$A$4:$I$23,9,FALSE))</f>
        <v>#N/A</v>
      </c>
      <c r="CZ49" s="328" t="e">
        <f ca="1">IF(CZ43="S/T",0,VLOOKUP(CZ43,'3.Tasks'!$A$4:$I$23,9,FALSE))</f>
        <v>#N/A</v>
      </c>
      <c r="DA49" s="328" t="e">
        <f ca="1">IF(DA43="S/T",0,VLOOKUP(DA43,'3.Tasks'!$A$4:$I$23,9,FALSE))</f>
        <v>#N/A</v>
      </c>
      <c r="DB49" s="328" t="e">
        <f ca="1">IF(DB43="S/T",0,VLOOKUP(DB43,'3.Tasks'!$A$4:$I$23,9,FALSE))</f>
        <v>#N/A</v>
      </c>
    </row>
    <row r="50" spans="2:110" hidden="1">
      <c r="B50" s="346"/>
      <c r="G50" s="727"/>
      <c r="H50" s="728" t="s">
        <v>819</v>
      </c>
      <c r="I50" s="728"/>
      <c r="J50" s="319">
        <f ca="1">VLOOKUP($H50,'3.Tasks'!$B$4:$BE$23,J$48,FALSE)</f>
        <v>0</v>
      </c>
      <c r="K50" s="320">
        <f ca="1">VLOOKUP($H50,'3.Tasks'!$B$4:$BE$23,K$48,FALSE)</f>
        <v>0</v>
      </c>
      <c r="L50" s="320" t="e">
        <f ca="1">VLOOKUP($H50,'3.Tasks'!$B$4:$BE$23,L$48,FALSE)</f>
        <v>#N/A</v>
      </c>
      <c r="M50" s="320" t="e">
        <f ca="1">VLOOKUP($H50,'3.Tasks'!$B$4:$BE$23,M$48,FALSE)</f>
        <v>#N/A</v>
      </c>
      <c r="N50" s="320" t="e">
        <f ca="1">VLOOKUP($H50,'3.Tasks'!$B$4:$BE$23,N$48,FALSE)</f>
        <v>#N/A</v>
      </c>
      <c r="O50" s="320" t="e">
        <f ca="1">VLOOKUP($H50,'3.Tasks'!$B$4:$BE$23,O$48,FALSE)</f>
        <v>#N/A</v>
      </c>
      <c r="P50" s="320" t="e">
        <f ca="1">VLOOKUP($H50,'3.Tasks'!$B$4:$BE$23,P$48,FALSE)</f>
        <v>#N/A</v>
      </c>
      <c r="Q50" s="320" t="e">
        <f ca="1">VLOOKUP($H50,'3.Tasks'!$B$4:$BE$23,Q$48,FALSE)</f>
        <v>#N/A</v>
      </c>
      <c r="R50" s="320" t="e">
        <f ca="1">VLOOKUP($H50,'3.Tasks'!$B$4:$BE$23,R$48,FALSE)</f>
        <v>#N/A</v>
      </c>
      <c r="S50" s="320" t="e">
        <f ca="1">VLOOKUP($H50,'3.Tasks'!$B$4:$BE$23,S$48,FALSE)</f>
        <v>#N/A</v>
      </c>
      <c r="T50" s="320" t="e">
        <f ca="1">VLOOKUP($H50,'3.Tasks'!$B$4:$BE$23,T$48,FALSE)</f>
        <v>#N/A</v>
      </c>
      <c r="U50" s="321" t="e">
        <f ca="1">VLOOKUP($H50,'3.Tasks'!$B$4:$BE$23,U$48,FALSE)</f>
        <v>#N/A</v>
      </c>
      <c r="V50" s="319" t="e">
        <f ca="1">VLOOKUP($H50,'3.Tasks'!$B$4:$BE$23,V$48,FALSE)</f>
        <v>#N/A</v>
      </c>
      <c r="W50" s="320" t="e">
        <f ca="1">VLOOKUP($H50,'3.Tasks'!$B$4:$BE$23,W$48,FALSE)</f>
        <v>#N/A</v>
      </c>
      <c r="X50" s="320" t="e">
        <f ca="1">VLOOKUP($H50,'3.Tasks'!$B$4:$BE$23,X$48,FALSE)</f>
        <v>#N/A</v>
      </c>
      <c r="Y50" s="320" t="e">
        <f ca="1">VLOOKUP($H50,'3.Tasks'!$B$4:$BE$23,Y$48,FALSE)</f>
        <v>#N/A</v>
      </c>
      <c r="Z50" s="320" t="e">
        <f ca="1">VLOOKUP($H50,'3.Tasks'!$B$4:$BE$23,Z$48,FALSE)</f>
        <v>#N/A</v>
      </c>
      <c r="AA50" s="320" t="e">
        <f ca="1">VLOOKUP($H50,'3.Tasks'!$B$4:$BE$23,AA$48,FALSE)</f>
        <v>#N/A</v>
      </c>
      <c r="AB50" s="320" t="e">
        <f ca="1">VLOOKUP($H50,'3.Tasks'!$B$4:$BE$23,AB$48,FALSE)</f>
        <v>#N/A</v>
      </c>
      <c r="AC50" s="320" t="e">
        <f ca="1">VLOOKUP($H50,'3.Tasks'!$B$4:$BE$23,AC$48,FALSE)</f>
        <v>#N/A</v>
      </c>
      <c r="AD50" s="320" t="e">
        <f ca="1">VLOOKUP($H50,'3.Tasks'!$B$4:$BE$23,AD$48,FALSE)</f>
        <v>#N/A</v>
      </c>
      <c r="AE50" s="320" t="e">
        <f ca="1">VLOOKUP($H50,'3.Tasks'!$B$4:$BE$23,AE$48,FALSE)</f>
        <v>#N/A</v>
      </c>
      <c r="AF50" s="320" t="e">
        <f ca="1">VLOOKUP($H50,'3.Tasks'!$B$4:$BE$23,AF$48,FALSE)</f>
        <v>#N/A</v>
      </c>
      <c r="AG50" s="321" t="e">
        <f ca="1">VLOOKUP($H50,'3.Tasks'!$B$4:$BE$23,AG$48,FALSE)</f>
        <v>#N/A</v>
      </c>
      <c r="AH50" s="319" t="e">
        <f ca="1">VLOOKUP($H50,'3.Tasks'!$B$4:$BE$23,AH$48,FALSE)</f>
        <v>#N/A</v>
      </c>
      <c r="AI50" s="320" t="e">
        <f ca="1">VLOOKUP($H50,'3.Tasks'!$B$4:$BE$23,AI$48,FALSE)</f>
        <v>#N/A</v>
      </c>
      <c r="AJ50" s="320" t="e">
        <f ca="1">VLOOKUP($H50,'3.Tasks'!$B$4:$BE$23,AJ$48,FALSE)</f>
        <v>#N/A</v>
      </c>
      <c r="AK50" s="320" t="e">
        <f ca="1">VLOOKUP($H50,'3.Tasks'!$B$4:$BE$23,AK$48,FALSE)</f>
        <v>#N/A</v>
      </c>
      <c r="AL50" s="320" t="e">
        <f ca="1">VLOOKUP($H50,'3.Tasks'!$B$4:$BE$23,AL$48,FALSE)</f>
        <v>#N/A</v>
      </c>
      <c r="AM50" s="320" t="e">
        <f ca="1">VLOOKUP($H50,'3.Tasks'!$B$4:$BE$23,AM$48,FALSE)</f>
        <v>#N/A</v>
      </c>
      <c r="AN50" s="320" t="e">
        <f ca="1">VLOOKUP($H50,'3.Tasks'!$B$4:$BE$23,AN$48,FALSE)</f>
        <v>#N/A</v>
      </c>
      <c r="AO50" s="320" t="e">
        <f ca="1">VLOOKUP($H50,'3.Tasks'!$B$4:$BE$23,AO$48,FALSE)</f>
        <v>#N/A</v>
      </c>
      <c r="AP50" s="320" t="e">
        <f ca="1">VLOOKUP($H50,'3.Tasks'!$B$4:$BE$23,AP$48,FALSE)</f>
        <v>#N/A</v>
      </c>
      <c r="AQ50" s="320" t="e">
        <f ca="1">VLOOKUP($H50,'3.Tasks'!$B$4:$BE$23,AQ$48,FALSE)</f>
        <v>#N/A</v>
      </c>
      <c r="AR50" s="320" t="e">
        <f ca="1">VLOOKUP($H50,'3.Tasks'!$B$4:$BE$23,AR$48,FALSE)</f>
        <v>#N/A</v>
      </c>
      <c r="AS50" s="321" t="e">
        <f ca="1">VLOOKUP($H50,'3.Tasks'!$B$4:$BE$23,AS$48,FALSE)</f>
        <v>#N/A</v>
      </c>
      <c r="AT50" s="319" t="e">
        <f ca="1">VLOOKUP($H50,'3.Tasks'!$B$4:$BE$23,AT$48,FALSE)</f>
        <v>#N/A</v>
      </c>
      <c r="AU50" s="320" t="e">
        <f ca="1">VLOOKUP($H50,'3.Tasks'!$B$4:$BE$23,AU$48,FALSE)</f>
        <v>#N/A</v>
      </c>
      <c r="AV50" s="320" t="e">
        <f ca="1">VLOOKUP($H50,'3.Tasks'!$B$4:$BE$23,AV$48,FALSE)</f>
        <v>#N/A</v>
      </c>
      <c r="AW50" s="320" t="e">
        <f ca="1">VLOOKUP($H50,'3.Tasks'!$B$4:$BE$23,AW$48,FALSE)</f>
        <v>#N/A</v>
      </c>
      <c r="AX50" s="320" t="e">
        <f ca="1">VLOOKUP($H50,'3.Tasks'!$B$4:$BE$23,AX$48,FALSE)</f>
        <v>#N/A</v>
      </c>
      <c r="AY50" s="320" t="e">
        <f ca="1">VLOOKUP($H50,'3.Tasks'!$B$4:$BE$23,AY$48,FALSE)</f>
        <v>#N/A</v>
      </c>
      <c r="AZ50" s="320" t="e">
        <f ca="1">VLOOKUP($H50,'3.Tasks'!$B$4:$BE$23,AZ$48,FALSE)</f>
        <v>#N/A</v>
      </c>
      <c r="BA50" s="320" t="e">
        <f ca="1">VLOOKUP($H50,'3.Tasks'!$B$4:$BE$23,BA$48,FALSE)</f>
        <v>#N/A</v>
      </c>
      <c r="BB50" s="320" t="e">
        <f ca="1">VLOOKUP($H50,'3.Tasks'!$B$4:$BE$23,BB$48,FALSE)</f>
        <v>#N/A</v>
      </c>
      <c r="BC50" s="320" t="e">
        <f ca="1">VLOOKUP($H50,'3.Tasks'!$B$4:$BE$23,BC$48,FALSE)</f>
        <v>#N/A</v>
      </c>
      <c r="BD50" s="320" t="e">
        <f ca="1">VLOOKUP($H50,'3.Tasks'!$B$4:$BE$23,BD$48,FALSE)</f>
        <v>#N/A</v>
      </c>
      <c r="BE50" s="321" t="e">
        <f ca="1">VLOOKUP($H50,'3.Tasks'!$B$4:$BE$23,BE$48,FALSE)</f>
        <v>#N/A</v>
      </c>
      <c r="BF50" s="366"/>
      <c r="BG50" s="366"/>
      <c r="BH50" s="366"/>
      <c r="BI50" s="366"/>
      <c r="BJ50" s="366"/>
      <c r="BK50" s="366"/>
      <c r="BL50" s="366"/>
      <c r="BM50" s="366"/>
      <c r="BN50" s="366"/>
      <c r="BO50" s="366"/>
      <c r="BP50" s="366"/>
      <c r="BQ50" s="366"/>
      <c r="BR50" s="366"/>
      <c r="BS50" s="366"/>
      <c r="BT50" s="366"/>
      <c r="BU50" s="366"/>
      <c r="BV50" s="366"/>
      <c r="BW50" s="366"/>
      <c r="BX50" s="366"/>
      <c r="BY50" s="366"/>
    </row>
    <row r="51" spans="2:110" hidden="1">
      <c r="B51" s="346"/>
      <c r="G51" s="727"/>
      <c r="H51" s="728" t="s">
        <v>820</v>
      </c>
      <c r="I51" s="728"/>
      <c r="J51" s="319">
        <f ca="1">VLOOKUP($H51,'3.Tasks'!$B$4:$BE$23,J$48,FALSE)</f>
        <v>0</v>
      </c>
      <c r="K51" s="320">
        <f ca="1">VLOOKUP($H51,'3.Tasks'!$B$4:$BE$23,K$48,FALSE)</f>
        <v>0</v>
      </c>
      <c r="L51" s="320" t="e">
        <f ca="1">VLOOKUP($H51,'3.Tasks'!$B$4:$BE$23,L$48,FALSE)</f>
        <v>#N/A</v>
      </c>
      <c r="M51" s="320" t="e">
        <f ca="1">VLOOKUP($H51,'3.Tasks'!$B$4:$BE$23,M$48,FALSE)</f>
        <v>#N/A</v>
      </c>
      <c r="N51" s="320" t="e">
        <f ca="1">VLOOKUP($H51,'3.Tasks'!$B$4:$BE$23,N$48,FALSE)</f>
        <v>#N/A</v>
      </c>
      <c r="O51" s="320" t="e">
        <f ca="1">VLOOKUP($H51,'3.Tasks'!$B$4:$BE$23,O$48,FALSE)</f>
        <v>#N/A</v>
      </c>
      <c r="P51" s="320" t="e">
        <f ca="1">VLOOKUP($H51,'3.Tasks'!$B$4:$BE$23,P$48,FALSE)</f>
        <v>#N/A</v>
      </c>
      <c r="Q51" s="320" t="e">
        <f ca="1">VLOOKUP($H51,'3.Tasks'!$B$4:$BE$23,Q$48,FALSE)</f>
        <v>#N/A</v>
      </c>
      <c r="R51" s="320" t="e">
        <f ca="1">VLOOKUP($H51,'3.Tasks'!$B$4:$BE$23,R$48,FALSE)</f>
        <v>#N/A</v>
      </c>
      <c r="S51" s="320" t="e">
        <f ca="1">VLOOKUP($H51,'3.Tasks'!$B$4:$BE$23,S$48,FALSE)</f>
        <v>#N/A</v>
      </c>
      <c r="T51" s="320" t="e">
        <f ca="1">VLOOKUP($H51,'3.Tasks'!$B$4:$BE$23,T$48,FALSE)</f>
        <v>#N/A</v>
      </c>
      <c r="U51" s="321" t="e">
        <f ca="1">VLOOKUP($H51,'3.Tasks'!$B$4:$BE$23,U$48,FALSE)</f>
        <v>#N/A</v>
      </c>
      <c r="V51" s="319" t="e">
        <f ca="1">VLOOKUP($H51,'3.Tasks'!$B$4:$BE$23,V$48,FALSE)</f>
        <v>#N/A</v>
      </c>
      <c r="W51" s="320" t="e">
        <f ca="1">VLOOKUP($H51,'3.Tasks'!$B$4:$BE$23,W$48,FALSE)</f>
        <v>#N/A</v>
      </c>
      <c r="X51" s="320" t="e">
        <f ca="1">VLOOKUP($H51,'3.Tasks'!$B$4:$BE$23,X$48,FALSE)</f>
        <v>#N/A</v>
      </c>
      <c r="Y51" s="320" t="e">
        <f ca="1">VLOOKUP($H51,'3.Tasks'!$B$4:$BE$23,Y$48,FALSE)</f>
        <v>#N/A</v>
      </c>
      <c r="Z51" s="320" t="e">
        <f ca="1">VLOOKUP($H51,'3.Tasks'!$B$4:$BE$23,Z$48,FALSE)</f>
        <v>#N/A</v>
      </c>
      <c r="AA51" s="320" t="e">
        <f ca="1">VLOOKUP($H51,'3.Tasks'!$B$4:$BE$23,AA$48,FALSE)</f>
        <v>#N/A</v>
      </c>
      <c r="AB51" s="320" t="e">
        <f ca="1">VLOOKUP($H51,'3.Tasks'!$B$4:$BE$23,AB$48,FALSE)</f>
        <v>#N/A</v>
      </c>
      <c r="AC51" s="320" t="e">
        <f ca="1">VLOOKUP($H51,'3.Tasks'!$B$4:$BE$23,AC$48,FALSE)</f>
        <v>#N/A</v>
      </c>
      <c r="AD51" s="320" t="e">
        <f ca="1">VLOOKUP($H51,'3.Tasks'!$B$4:$BE$23,AD$48,FALSE)</f>
        <v>#N/A</v>
      </c>
      <c r="AE51" s="320" t="e">
        <f ca="1">VLOOKUP($H51,'3.Tasks'!$B$4:$BE$23,AE$48,FALSE)</f>
        <v>#N/A</v>
      </c>
      <c r="AF51" s="320" t="e">
        <f ca="1">VLOOKUP($H51,'3.Tasks'!$B$4:$BE$23,AF$48,FALSE)</f>
        <v>#N/A</v>
      </c>
      <c r="AG51" s="321" t="e">
        <f ca="1">VLOOKUP($H51,'3.Tasks'!$B$4:$BE$23,AG$48,FALSE)</f>
        <v>#N/A</v>
      </c>
      <c r="AH51" s="319" t="e">
        <f ca="1">VLOOKUP($H51,'3.Tasks'!$B$4:$BE$23,AH$48,FALSE)</f>
        <v>#N/A</v>
      </c>
      <c r="AI51" s="320" t="e">
        <f ca="1">VLOOKUP($H51,'3.Tasks'!$B$4:$BE$23,AI$48,FALSE)</f>
        <v>#N/A</v>
      </c>
      <c r="AJ51" s="320" t="e">
        <f ca="1">VLOOKUP($H51,'3.Tasks'!$B$4:$BE$23,AJ$48,FALSE)</f>
        <v>#N/A</v>
      </c>
      <c r="AK51" s="320" t="e">
        <f ca="1">VLOOKUP($H51,'3.Tasks'!$B$4:$BE$23,AK$48,FALSE)</f>
        <v>#N/A</v>
      </c>
      <c r="AL51" s="320" t="e">
        <f ca="1">VLOOKUP($H51,'3.Tasks'!$B$4:$BE$23,AL$48,FALSE)</f>
        <v>#N/A</v>
      </c>
      <c r="AM51" s="320" t="e">
        <f ca="1">VLOOKUP($H51,'3.Tasks'!$B$4:$BE$23,AM$48,FALSE)</f>
        <v>#N/A</v>
      </c>
      <c r="AN51" s="320" t="e">
        <f ca="1">VLOOKUP($H51,'3.Tasks'!$B$4:$BE$23,AN$48,FALSE)</f>
        <v>#N/A</v>
      </c>
      <c r="AO51" s="320" t="e">
        <f ca="1">VLOOKUP($H51,'3.Tasks'!$B$4:$BE$23,AO$48,FALSE)</f>
        <v>#N/A</v>
      </c>
      <c r="AP51" s="320" t="e">
        <f ca="1">VLOOKUP($H51,'3.Tasks'!$B$4:$BE$23,AP$48,FALSE)</f>
        <v>#N/A</v>
      </c>
      <c r="AQ51" s="320" t="e">
        <f ca="1">VLOOKUP($H51,'3.Tasks'!$B$4:$BE$23,AQ$48,FALSE)</f>
        <v>#N/A</v>
      </c>
      <c r="AR51" s="320" t="e">
        <f ca="1">VLOOKUP($H51,'3.Tasks'!$B$4:$BE$23,AR$48,FALSE)</f>
        <v>#N/A</v>
      </c>
      <c r="AS51" s="321" t="e">
        <f ca="1">VLOOKUP($H51,'3.Tasks'!$B$4:$BE$23,AS$48,FALSE)</f>
        <v>#N/A</v>
      </c>
      <c r="AT51" s="319" t="e">
        <f ca="1">VLOOKUP($H51,'3.Tasks'!$B$4:$BE$23,AT$48,FALSE)</f>
        <v>#N/A</v>
      </c>
      <c r="AU51" s="320" t="e">
        <f ca="1">VLOOKUP($H51,'3.Tasks'!$B$4:$BE$23,AU$48,FALSE)</f>
        <v>#N/A</v>
      </c>
      <c r="AV51" s="320" t="e">
        <f ca="1">VLOOKUP($H51,'3.Tasks'!$B$4:$BE$23,AV$48,FALSE)</f>
        <v>#N/A</v>
      </c>
      <c r="AW51" s="320" t="e">
        <f ca="1">VLOOKUP($H51,'3.Tasks'!$B$4:$BE$23,AW$48,FALSE)</f>
        <v>#N/A</v>
      </c>
      <c r="AX51" s="320" t="e">
        <f ca="1">VLOOKUP($H51,'3.Tasks'!$B$4:$BE$23,AX$48,FALSE)</f>
        <v>#N/A</v>
      </c>
      <c r="AY51" s="320" t="e">
        <f ca="1">VLOOKUP($H51,'3.Tasks'!$B$4:$BE$23,AY$48,FALSE)</f>
        <v>#N/A</v>
      </c>
      <c r="AZ51" s="320" t="e">
        <f ca="1">VLOOKUP($H51,'3.Tasks'!$B$4:$BE$23,AZ$48,FALSE)</f>
        <v>#N/A</v>
      </c>
      <c r="BA51" s="320" t="e">
        <f ca="1">VLOOKUP($H51,'3.Tasks'!$B$4:$BE$23,BA$48,FALSE)</f>
        <v>#N/A</v>
      </c>
      <c r="BB51" s="320" t="e">
        <f ca="1">VLOOKUP($H51,'3.Tasks'!$B$4:$BE$23,BB$48,FALSE)</f>
        <v>#N/A</v>
      </c>
      <c r="BC51" s="320" t="e">
        <f ca="1">VLOOKUP($H51,'3.Tasks'!$B$4:$BE$23,BC$48,FALSE)</f>
        <v>#N/A</v>
      </c>
      <c r="BD51" s="320" t="e">
        <f ca="1">VLOOKUP($H51,'3.Tasks'!$B$4:$BE$23,BD$48,FALSE)</f>
        <v>#N/A</v>
      </c>
      <c r="BE51" s="321" t="e">
        <f ca="1">VLOOKUP($H51,'3.Tasks'!$B$4:$BE$23,BE$48,FALSE)</f>
        <v>#N/A</v>
      </c>
      <c r="BF51" s="366"/>
      <c r="BG51" s="366"/>
      <c r="BH51" s="366"/>
      <c r="BI51" s="366"/>
      <c r="BJ51" s="366"/>
      <c r="BK51" s="366"/>
      <c r="BL51" s="366"/>
      <c r="BM51" s="366"/>
      <c r="BN51" s="366"/>
      <c r="BO51" s="366"/>
      <c r="BP51" s="366"/>
      <c r="BQ51" s="366"/>
      <c r="BR51" s="366"/>
      <c r="BS51" s="366"/>
      <c r="BT51" s="366"/>
      <c r="BU51" s="366"/>
      <c r="BV51" s="366"/>
      <c r="BW51" s="366"/>
      <c r="BX51" s="366"/>
      <c r="BY51" s="366"/>
    </row>
    <row r="52" spans="2:110" hidden="1">
      <c r="B52" s="346"/>
      <c r="G52" s="727"/>
      <c r="H52" s="728" t="s">
        <v>821</v>
      </c>
      <c r="I52" s="728"/>
      <c r="J52" s="319">
        <f ca="1">VLOOKUP($H52,'3.Tasks'!$B$4:$BE$23,J$48,FALSE)</f>
        <v>0</v>
      </c>
      <c r="K52" s="320">
        <f ca="1">VLOOKUP($H52,'3.Tasks'!$B$4:$BE$23,K$48,FALSE)</f>
        <v>0</v>
      </c>
      <c r="L52" s="320" t="e">
        <f ca="1">VLOOKUP($H52,'3.Tasks'!$B$4:$BE$23,L$48,FALSE)</f>
        <v>#N/A</v>
      </c>
      <c r="M52" s="320" t="e">
        <f ca="1">VLOOKUP($H52,'3.Tasks'!$B$4:$BE$23,M$48,FALSE)</f>
        <v>#N/A</v>
      </c>
      <c r="N52" s="320" t="e">
        <f ca="1">VLOOKUP($H52,'3.Tasks'!$B$4:$BE$23,N$48,FALSE)</f>
        <v>#N/A</v>
      </c>
      <c r="O52" s="320" t="e">
        <f ca="1">VLOOKUP($H52,'3.Tasks'!$B$4:$BE$23,O$48,FALSE)</f>
        <v>#N/A</v>
      </c>
      <c r="P52" s="320" t="e">
        <f ca="1">VLOOKUP($H52,'3.Tasks'!$B$4:$BE$23,P$48,FALSE)</f>
        <v>#N/A</v>
      </c>
      <c r="Q52" s="320" t="e">
        <f ca="1">VLOOKUP($H52,'3.Tasks'!$B$4:$BE$23,Q$48,FALSE)</f>
        <v>#N/A</v>
      </c>
      <c r="R52" s="320" t="e">
        <f ca="1">VLOOKUP($H52,'3.Tasks'!$B$4:$BE$23,R$48,FALSE)</f>
        <v>#N/A</v>
      </c>
      <c r="S52" s="320" t="e">
        <f ca="1">VLOOKUP($H52,'3.Tasks'!$B$4:$BE$23,S$48,FALSE)</f>
        <v>#N/A</v>
      </c>
      <c r="T52" s="320" t="e">
        <f ca="1">VLOOKUP($H52,'3.Tasks'!$B$4:$BE$23,T$48,FALSE)</f>
        <v>#N/A</v>
      </c>
      <c r="U52" s="321" t="e">
        <f ca="1">VLOOKUP($H52,'3.Tasks'!$B$4:$BE$23,U$48,FALSE)</f>
        <v>#N/A</v>
      </c>
      <c r="V52" s="319" t="e">
        <f ca="1">VLOOKUP($H52,'3.Tasks'!$B$4:$BE$23,V$48,FALSE)</f>
        <v>#N/A</v>
      </c>
      <c r="W52" s="320" t="e">
        <f ca="1">VLOOKUP($H52,'3.Tasks'!$B$4:$BE$23,W$48,FALSE)</f>
        <v>#N/A</v>
      </c>
      <c r="X52" s="320" t="e">
        <f ca="1">VLOOKUP($H52,'3.Tasks'!$B$4:$BE$23,X$48,FALSE)</f>
        <v>#N/A</v>
      </c>
      <c r="Y52" s="320" t="e">
        <f ca="1">VLOOKUP($H52,'3.Tasks'!$B$4:$BE$23,Y$48,FALSE)</f>
        <v>#N/A</v>
      </c>
      <c r="Z52" s="320" t="e">
        <f ca="1">VLOOKUP($H52,'3.Tasks'!$B$4:$BE$23,Z$48,FALSE)</f>
        <v>#N/A</v>
      </c>
      <c r="AA52" s="320" t="e">
        <f ca="1">VLOOKUP($H52,'3.Tasks'!$B$4:$BE$23,AA$48,FALSE)</f>
        <v>#N/A</v>
      </c>
      <c r="AB52" s="320" t="e">
        <f ca="1">VLOOKUP($H52,'3.Tasks'!$B$4:$BE$23,AB$48,FALSE)</f>
        <v>#N/A</v>
      </c>
      <c r="AC52" s="320" t="e">
        <f ca="1">VLOOKUP($H52,'3.Tasks'!$B$4:$BE$23,AC$48,FALSE)</f>
        <v>#N/A</v>
      </c>
      <c r="AD52" s="320" t="e">
        <f ca="1">VLOOKUP($H52,'3.Tasks'!$B$4:$BE$23,AD$48,FALSE)</f>
        <v>#N/A</v>
      </c>
      <c r="AE52" s="320" t="e">
        <f ca="1">VLOOKUP($H52,'3.Tasks'!$B$4:$BE$23,AE$48,FALSE)</f>
        <v>#N/A</v>
      </c>
      <c r="AF52" s="320" t="e">
        <f ca="1">VLOOKUP($H52,'3.Tasks'!$B$4:$BE$23,AF$48,FALSE)</f>
        <v>#N/A</v>
      </c>
      <c r="AG52" s="321" t="e">
        <f ca="1">VLOOKUP($H52,'3.Tasks'!$B$4:$BE$23,AG$48,FALSE)</f>
        <v>#N/A</v>
      </c>
      <c r="AH52" s="319" t="e">
        <f ca="1">VLOOKUP($H52,'3.Tasks'!$B$4:$BE$23,AH$48,FALSE)</f>
        <v>#N/A</v>
      </c>
      <c r="AI52" s="320" t="e">
        <f ca="1">VLOOKUP($H52,'3.Tasks'!$B$4:$BE$23,AI$48,FALSE)</f>
        <v>#N/A</v>
      </c>
      <c r="AJ52" s="320" t="e">
        <f ca="1">VLOOKUP($H52,'3.Tasks'!$B$4:$BE$23,AJ$48,FALSE)</f>
        <v>#N/A</v>
      </c>
      <c r="AK52" s="320" t="e">
        <f ca="1">VLOOKUP($H52,'3.Tasks'!$B$4:$BE$23,AK$48,FALSE)</f>
        <v>#N/A</v>
      </c>
      <c r="AL52" s="320" t="e">
        <f ca="1">VLOOKUP($H52,'3.Tasks'!$B$4:$BE$23,AL$48,FALSE)</f>
        <v>#N/A</v>
      </c>
      <c r="AM52" s="320" t="e">
        <f ca="1">VLOOKUP($H52,'3.Tasks'!$B$4:$BE$23,AM$48,FALSE)</f>
        <v>#N/A</v>
      </c>
      <c r="AN52" s="320" t="e">
        <f ca="1">VLOOKUP($H52,'3.Tasks'!$B$4:$BE$23,AN$48,FALSE)</f>
        <v>#N/A</v>
      </c>
      <c r="AO52" s="320" t="e">
        <f ca="1">VLOOKUP($H52,'3.Tasks'!$B$4:$BE$23,AO$48,FALSE)</f>
        <v>#N/A</v>
      </c>
      <c r="AP52" s="320" t="e">
        <f ca="1">VLOOKUP($H52,'3.Tasks'!$B$4:$BE$23,AP$48,FALSE)</f>
        <v>#N/A</v>
      </c>
      <c r="AQ52" s="320" t="e">
        <f ca="1">VLOOKUP($H52,'3.Tasks'!$B$4:$BE$23,AQ$48,FALSE)</f>
        <v>#N/A</v>
      </c>
      <c r="AR52" s="320" t="e">
        <f ca="1">VLOOKUP($H52,'3.Tasks'!$B$4:$BE$23,AR$48,FALSE)</f>
        <v>#N/A</v>
      </c>
      <c r="AS52" s="321" t="e">
        <f ca="1">VLOOKUP($H52,'3.Tasks'!$B$4:$BE$23,AS$48,FALSE)</f>
        <v>#N/A</v>
      </c>
      <c r="AT52" s="319" t="e">
        <f ca="1">VLOOKUP($H52,'3.Tasks'!$B$4:$BE$23,AT$48,FALSE)</f>
        <v>#N/A</v>
      </c>
      <c r="AU52" s="320" t="e">
        <f ca="1">VLOOKUP($H52,'3.Tasks'!$B$4:$BE$23,AU$48,FALSE)</f>
        <v>#N/A</v>
      </c>
      <c r="AV52" s="320" t="e">
        <f ca="1">VLOOKUP($H52,'3.Tasks'!$B$4:$BE$23,AV$48,FALSE)</f>
        <v>#N/A</v>
      </c>
      <c r="AW52" s="320" t="e">
        <f ca="1">VLOOKUP($H52,'3.Tasks'!$B$4:$BE$23,AW$48,FALSE)</f>
        <v>#N/A</v>
      </c>
      <c r="AX52" s="320" t="e">
        <f ca="1">VLOOKUP($H52,'3.Tasks'!$B$4:$BE$23,AX$48,FALSE)</f>
        <v>#N/A</v>
      </c>
      <c r="AY52" s="320" t="e">
        <f ca="1">VLOOKUP($H52,'3.Tasks'!$B$4:$BE$23,AY$48,FALSE)</f>
        <v>#N/A</v>
      </c>
      <c r="AZ52" s="320" t="e">
        <f ca="1">VLOOKUP($H52,'3.Tasks'!$B$4:$BE$23,AZ$48,FALSE)</f>
        <v>#N/A</v>
      </c>
      <c r="BA52" s="320" t="e">
        <f ca="1">VLOOKUP($H52,'3.Tasks'!$B$4:$BE$23,BA$48,FALSE)</f>
        <v>#N/A</v>
      </c>
      <c r="BB52" s="320" t="e">
        <f ca="1">VLOOKUP($H52,'3.Tasks'!$B$4:$BE$23,BB$48,FALSE)</f>
        <v>#N/A</v>
      </c>
      <c r="BC52" s="320" t="e">
        <f ca="1">VLOOKUP($H52,'3.Tasks'!$B$4:$BE$23,BC$48,FALSE)</f>
        <v>#N/A</v>
      </c>
      <c r="BD52" s="320" t="e">
        <f ca="1">VLOOKUP($H52,'3.Tasks'!$B$4:$BE$23,BD$48,FALSE)</f>
        <v>#N/A</v>
      </c>
      <c r="BE52" s="321" t="e">
        <f ca="1">VLOOKUP($H52,'3.Tasks'!$B$4:$BE$23,BE$48,FALSE)</f>
        <v>#N/A</v>
      </c>
      <c r="BF52" s="366"/>
      <c r="BG52" s="366"/>
      <c r="BH52" s="366"/>
      <c r="BI52" s="366"/>
      <c r="BJ52" s="366"/>
      <c r="BK52" s="366"/>
      <c r="BL52" s="366"/>
      <c r="BM52" s="366"/>
      <c r="BN52" s="366"/>
      <c r="BO52" s="366"/>
      <c r="BP52" s="366"/>
      <c r="BQ52" s="366"/>
      <c r="BR52" s="366"/>
      <c r="BS52" s="366"/>
      <c r="BT52" s="366"/>
      <c r="BU52" s="366"/>
      <c r="BV52" s="366"/>
      <c r="BW52" s="366"/>
      <c r="BX52" s="366"/>
      <c r="BY52" s="366"/>
    </row>
    <row r="53" spans="2:110" hidden="1">
      <c r="B53" s="346"/>
      <c r="G53" s="727"/>
      <c r="H53" s="728" t="s">
        <v>822</v>
      </c>
      <c r="I53" s="728"/>
      <c r="J53" s="319">
        <f ca="1">VLOOKUP($H53,'3.Tasks'!$B$4:$BE$23,J$48,FALSE)</f>
        <v>0</v>
      </c>
      <c r="K53" s="320">
        <f ca="1">VLOOKUP($H53,'3.Tasks'!$B$4:$BE$23,K$48,FALSE)</f>
        <v>0</v>
      </c>
      <c r="L53" s="320" t="e">
        <f ca="1">VLOOKUP($H53,'3.Tasks'!$B$4:$BE$23,L$48,FALSE)</f>
        <v>#N/A</v>
      </c>
      <c r="M53" s="320" t="e">
        <f ca="1">VLOOKUP($H53,'3.Tasks'!$B$4:$BE$23,M$48,FALSE)</f>
        <v>#N/A</v>
      </c>
      <c r="N53" s="320" t="e">
        <f ca="1">VLOOKUP($H53,'3.Tasks'!$B$4:$BE$23,N$48,FALSE)</f>
        <v>#N/A</v>
      </c>
      <c r="O53" s="320" t="e">
        <f ca="1">VLOOKUP($H53,'3.Tasks'!$B$4:$BE$23,O$48,FALSE)</f>
        <v>#N/A</v>
      </c>
      <c r="P53" s="320" t="e">
        <f ca="1">VLOOKUP($H53,'3.Tasks'!$B$4:$BE$23,P$48,FALSE)</f>
        <v>#N/A</v>
      </c>
      <c r="Q53" s="320" t="e">
        <f ca="1">VLOOKUP($H53,'3.Tasks'!$B$4:$BE$23,Q$48,FALSE)</f>
        <v>#N/A</v>
      </c>
      <c r="R53" s="320" t="e">
        <f ca="1">VLOOKUP($H53,'3.Tasks'!$B$4:$BE$23,R$48,FALSE)</f>
        <v>#N/A</v>
      </c>
      <c r="S53" s="320" t="e">
        <f ca="1">VLOOKUP($H53,'3.Tasks'!$B$4:$BE$23,S$48,FALSE)</f>
        <v>#N/A</v>
      </c>
      <c r="T53" s="320" t="e">
        <f ca="1">VLOOKUP($H53,'3.Tasks'!$B$4:$BE$23,T$48,FALSE)</f>
        <v>#N/A</v>
      </c>
      <c r="U53" s="321" t="e">
        <f ca="1">VLOOKUP($H53,'3.Tasks'!$B$4:$BE$23,U$48,FALSE)</f>
        <v>#N/A</v>
      </c>
      <c r="V53" s="319" t="e">
        <f ca="1">VLOOKUP($H53,'3.Tasks'!$B$4:$BE$23,V$48,FALSE)</f>
        <v>#N/A</v>
      </c>
      <c r="W53" s="320" t="e">
        <f ca="1">VLOOKUP($H53,'3.Tasks'!$B$4:$BE$23,W$48,FALSE)</f>
        <v>#N/A</v>
      </c>
      <c r="X53" s="320" t="e">
        <f ca="1">VLOOKUP($H53,'3.Tasks'!$B$4:$BE$23,X$48,FALSE)</f>
        <v>#N/A</v>
      </c>
      <c r="Y53" s="320" t="e">
        <f ca="1">VLOOKUP($H53,'3.Tasks'!$B$4:$BE$23,Y$48,FALSE)</f>
        <v>#N/A</v>
      </c>
      <c r="Z53" s="320" t="e">
        <f ca="1">VLOOKUP($H53,'3.Tasks'!$B$4:$BE$23,Z$48,FALSE)</f>
        <v>#N/A</v>
      </c>
      <c r="AA53" s="320" t="e">
        <f ca="1">VLOOKUP($H53,'3.Tasks'!$B$4:$BE$23,AA$48,FALSE)</f>
        <v>#N/A</v>
      </c>
      <c r="AB53" s="320" t="e">
        <f ca="1">VLOOKUP($H53,'3.Tasks'!$B$4:$BE$23,AB$48,FALSE)</f>
        <v>#N/A</v>
      </c>
      <c r="AC53" s="320" t="e">
        <f ca="1">VLOOKUP($H53,'3.Tasks'!$B$4:$BE$23,AC$48,FALSE)</f>
        <v>#N/A</v>
      </c>
      <c r="AD53" s="320" t="e">
        <f ca="1">VLOOKUP($H53,'3.Tasks'!$B$4:$BE$23,AD$48,FALSE)</f>
        <v>#N/A</v>
      </c>
      <c r="AE53" s="320" t="e">
        <f ca="1">VLOOKUP($H53,'3.Tasks'!$B$4:$BE$23,AE$48,FALSE)</f>
        <v>#N/A</v>
      </c>
      <c r="AF53" s="320" t="e">
        <f ca="1">VLOOKUP($H53,'3.Tasks'!$B$4:$BE$23,AF$48,FALSE)</f>
        <v>#N/A</v>
      </c>
      <c r="AG53" s="321" t="e">
        <f ca="1">VLOOKUP($H53,'3.Tasks'!$B$4:$BE$23,AG$48,FALSE)</f>
        <v>#N/A</v>
      </c>
      <c r="AH53" s="319" t="e">
        <f ca="1">VLOOKUP($H53,'3.Tasks'!$B$4:$BE$23,AH$48,FALSE)</f>
        <v>#N/A</v>
      </c>
      <c r="AI53" s="320" t="e">
        <f ca="1">VLOOKUP($H53,'3.Tasks'!$B$4:$BE$23,AI$48,FALSE)</f>
        <v>#N/A</v>
      </c>
      <c r="AJ53" s="320" t="e">
        <f ca="1">VLOOKUP($H53,'3.Tasks'!$B$4:$BE$23,AJ$48,FALSE)</f>
        <v>#N/A</v>
      </c>
      <c r="AK53" s="320" t="e">
        <f ca="1">VLOOKUP($H53,'3.Tasks'!$B$4:$BE$23,AK$48,FALSE)</f>
        <v>#N/A</v>
      </c>
      <c r="AL53" s="320" t="e">
        <f ca="1">VLOOKUP($H53,'3.Tasks'!$B$4:$BE$23,AL$48,FALSE)</f>
        <v>#N/A</v>
      </c>
      <c r="AM53" s="320" t="e">
        <f ca="1">VLOOKUP($H53,'3.Tasks'!$B$4:$BE$23,AM$48,FALSE)</f>
        <v>#N/A</v>
      </c>
      <c r="AN53" s="320" t="e">
        <f ca="1">VLOOKUP($H53,'3.Tasks'!$B$4:$BE$23,AN$48,FALSE)</f>
        <v>#N/A</v>
      </c>
      <c r="AO53" s="320" t="e">
        <f ca="1">VLOOKUP($H53,'3.Tasks'!$B$4:$BE$23,AO$48,FALSE)</f>
        <v>#N/A</v>
      </c>
      <c r="AP53" s="320" t="e">
        <f ca="1">VLOOKUP($H53,'3.Tasks'!$B$4:$BE$23,AP$48,FALSE)</f>
        <v>#N/A</v>
      </c>
      <c r="AQ53" s="320" t="e">
        <f ca="1">VLOOKUP($H53,'3.Tasks'!$B$4:$BE$23,AQ$48,FALSE)</f>
        <v>#N/A</v>
      </c>
      <c r="AR53" s="320" t="e">
        <f ca="1">VLOOKUP($H53,'3.Tasks'!$B$4:$BE$23,AR$48,FALSE)</f>
        <v>#N/A</v>
      </c>
      <c r="AS53" s="321" t="e">
        <f ca="1">VLOOKUP($H53,'3.Tasks'!$B$4:$BE$23,AS$48,FALSE)</f>
        <v>#N/A</v>
      </c>
      <c r="AT53" s="319" t="e">
        <f ca="1">VLOOKUP($H53,'3.Tasks'!$B$4:$BE$23,AT$48,FALSE)</f>
        <v>#N/A</v>
      </c>
      <c r="AU53" s="320" t="e">
        <f ca="1">VLOOKUP($H53,'3.Tasks'!$B$4:$BE$23,AU$48,FALSE)</f>
        <v>#N/A</v>
      </c>
      <c r="AV53" s="320" t="e">
        <f ca="1">VLOOKUP($H53,'3.Tasks'!$B$4:$BE$23,AV$48,FALSE)</f>
        <v>#N/A</v>
      </c>
      <c r="AW53" s="320" t="e">
        <f ca="1">VLOOKUP($H53,'3.Tasks'!$B$4:$BE$23,AW$48,FALSE)</f>
        <v>#N/A</v>
      </c>
      <c r="AX53" s="320" t="e">
        <f ca="1">VLOOKUP($H53,'3.Tasks'!$B$4:$BE$23,AX$48,FALSE)</f>
        <v>#N/A</v>
      </c>
      <c r="AY53" s="320" t="e">
        <f ca="1">VLOOKUP($H53,'3.Tasks'!$B$4:$BE$23,AY$48,FALSE)</f>
        <v>#N/A</v>
      </c>
      <c r="AZ53" s="320" t="e">
        <f ca="1">VLOOKUP($H53,'3.Tasks'!$B$4:$BE$23,AZ$48,FALSE)</f>
        <v>#N/A</v>
      </c>
      <c r="BA53" s="320" t="e">
        <f ca="1">VLOOKUP($H53,'3.Tasks'!$B$4:$BE$23,BA$48,FALSE)</f>
        <v>#N/A</v>
      </c>
      <c r="BB53" s="320" t="e">
        <f ca="1">VLOOKUP($H53,'3.Tasks'!$B$4:$BE$23,BB$48,FALSE)</f>
        <v>#N/A</v>
      </c>
      <c r="BC53" s="320" t="e">
        <f ca="1">VLOOKUP($H53,'3.Tasks'!$B$4:$BE$23,BC$48,FALSE)</f>
        <v>#N/A</v>
      </c>
      <c r="BD53" s="320" t="e">
        <f ca="1">VLOOKUP($H53,'3.Tasks'!$B$4:$BE$23,BD$48,FALSE)</f>
        <v>#N/A</v>
      </c>
      <c r="BE53" s="321" t="e">
        <f ca="1">VLOOKUP($H53,'3.Tasks'!$B$4:$BE$23,BE$48,FALSE)</f>
        <v>#N/A</v>
      </c>
      <c r="BF53" s="366"/>
      <c r="BG53" s="366"/>
      <c r="BH53" s="366"/>
      <c r="BI53" s="366"/>
      <c r="BJ53" s="366"/>
      <c r="BK53" s="366"/>
      <c r="BL53" s="366"/>
      <c r="BM53" s="366"/>
      <c r="BN53" s="366"/>
      <c r="BO53" s="366"/>
      <c r="BP53" s="366"/>
      <c r="BQ53" s="366"/>
      <c r="BR53" s="366"/>
      <c r="BS53" s="366"/>
      <c r="BT53" s="366"/>
      <c r="BU53" s="366"/>
      <c r="BV53" s="366"/>
      <c r="BW53" s="366"/>
      <c r="BX53" s="366"/>
      <c r="BY53" s="366"/>
    </row>
    <row r="54" spans="2:110" s="304" customFormat="1" hidden="1">
      <c r="B54" s="169"/>
      <c r="G54" s="727"/>
      <c r="H54" s="728" t="s">
        <v>823</v>
      </c>
      <c r="I54" s="728"/>
      <c r="J54" s="319">
        <f ca="1">VLOOKUP($H54,'3.Tasks'!$B$4:$BE$23,J$48,FALSE)</f>
        <v>0</v>
      </c>
      <c r="K54" s="320">
        <f ca="1">VLOOKUP($H54,'3.Tasks'!$B$4:$BE$23,K$48,FALSE)</f>
        <v>0</v>
      </c>
      <c r="L54" s="320" t="e">
        <f ca="1">VLOOKUP($H54,'3.Tasks'!$B$4:$BE$23,L$48,FALSE)</f>
        <v>#N/A</v>
      </c>
      <c r="M54" s="320" t="e">
        <f ca="1">VLOOKUP($H54,'3.Tasks'!$B$4:$BE$23,M$48,FALSE)</f>
        <v>#N/A</v>
      </c>
      <c r="N54" s="320" t="e">
        <f ca="1">VLOOKUP($H54,'3.Tasks'!$B$4:$BE$23,N$48,FALSE)</f>
        <v>#N/A</v>
      </c>
      <c r="O54" s="320" t="e">
        <f ca="1">VLOOKUP($H54,'3.Tasks'!$B$4:$BE$23,O$48,FALSE)</f>
        <v>#N/A</v>
      </c>
      <c r="P54" s="320" t="e">
        <f ca="1">VLOOKUP($H54,'3.Tasks'!$B$4:$BE$23,P$48,FALSE)</f>
        <v>#N/A</v>
      </c>
      <c r="Q54" s="320" t="e">
        <f ca="1">VLOOKUP($H54,'3.Tasks'!$B$4:$BE$23,Q$48,FALSE)</f>
        <v>#N/A</v>
      </c>
      <c r="R54" s="320" t="e">
        <f ca="1">VLOOKUP($H54,'3.Tasks'!$B$4:$BE$23,R$48,FALSE)</f>
        <v>#N/A</v>
      </c>
      <c r="S54" s="320" t="e">
        <f ca="1">VLOOKUP($H54,'3.Tasks'!$B$4:$BE$23,S$48,FALSE)</f>
        <v>#N/A</v>
      </c>
      <c r="T54" s="320" t="e">
        <f ca="1">VLOOKUP($H54,'3.Tasks'!$B$4:$BE$23,T$48,FALSE)</f>
        <v>#N/A</v>
      </c>
      <c r="U54" s="321" t="e">
        <f ca="1">VLOOKUP($H54,'3.Tasks'!$B$4:$BE$23,U$48,FALSE)</f>
        <v>#N/A</v>
      </c>
      <c r="V54" s="319" t="e">
        <f ca="1">VLOOKUP($H54,'3.Tasks'!$B$4:$BE$23,V$48,FALSE)</f>
        <v>#N/A</v>
      </c>
      <c r="W54" s="320" t="e">
        <f ca="1">VLOOKUP($H54,'3.Tasks'!$B$4:$BE$23,W$48,FALSE)</f>
        <v>#N/A</v>
      </c>
      <c r="X54" s="320" t="e">
        <f ca="1">VLOOKUP($H54,'3.Tasks'!$B$4:$BE$23,X$48,FALSE)</f>
        <v>#N/A</v>
      </c>
      <c r="Y54" s="320" t="e">
        <f ca="1">VLOOKUP($H54,'3.Tasks'!$B$4:$BE$23,Y$48,FALSE)</f>
        <v>#N/A</v>
      </c>
      <c r="Z54" s="320" t="e">
        <f ca="1">VLOOKUP($H54,'3.Tasks'!$B$4:$BE$23,Z$48,FALSE)</f>
        <v>#N/A</v>
      </c>
      <c r="AA54" s="320" t="e">
        <f ca="1">VLOOKUP($H54,'3.Tasks'!$B$4:$BE$23,AA$48,FALSE)</f>
        <v>#N/A</v>
      </c>
      <c r="AB54" s="320" t="e">
        <f ca="1">VLOOKUP($H54,'3.Tasks'!$B$4:$BE$23,AB$48,FALSE)</f>
        <v>#N/A</v>
      </c>
      <c r="AC54" s="320" t="e">
        <f ca="1">VLOOKUP($H54,'3.Tasks'!$B$4:$BE$23,AC$48,FALSE)</f>
        <v>#N/A</v>
      </c>
      <c r="AD54" s="320" t="e">
        <f ca="1">VLOOKUP($H54,'3.Tasks'!$B$4:$BE$23,AD$48,FALSE)</f>
        <v>#N/A</v>
      </c>
      <c r="AE54" s="320" t="e">
        <f ca="1">VLOOKUP($H54,'3.Tasks'!$B$4:$BE$23,AE$48,FALSE)</f>
        <v>#N/A</v>
      </c>
      <c r="AF54" s="320" t="e">
        <f ca="1">VLOOKUP($H54,'3.Tasks'!$B$4:$BE$23,AF$48,FALSE)</f>
        <v>#N/A</v>
      </c>
      <c r="AG54" s="321" t="e">
        <f ca="1">VLOOKUP($H54,'3.Tasks'!$B$4:$BE$23,AG$48,FALSE)</f>
        <v>#N/A</v>
      </c>
      <c r="AH54" s="319" t="e">
        <f ca="1">VLOOKUP($H54,'3.Tasks'!$B$4:$BE$23,AH$48,FALSE)</f>
        <v>#N/A</v>
      </c>
      <c r="AI54" s="320" t="e">
        <f ca="1">VLOOKUP($H54,'3.Tasks'!$B$4:$BE$23,AI$48,FALSE)</f>
        <v>#N/A</v>
      </c>
      <c r="AJ54" s="320" t="e">
        <f ca="1">VLOOKUP($H54,'3.Tasks'!$B$4:$BE$23,AJ$48,FALSE)</f>
        <v>#N/A</v>
      </c>
      <c r="AK54" s="320" t="e">
        <f ca="1">VLOOKUP($H54,'3.Tasks'!$B$4:$BE$23,AK$48,FALSE)</f>
        <v>#N/A</v>
      </c>
      <c r="AL54" s="320" t="e">
        <f ca="1">VLOOKUP($H54,'3.Tasks'!$B$4:$BE$23,AL$48,FALSE)</f>
        <v>#N/A</v>
      </c>
      <c r="AM54" s="320" t="e">
        <f ca="1">VLOOKUP($H54,'3.Tasks'!$B$4:$BE$23,AM$48,FALSE)</f>
        <v>#N/A</v>
      </c>
      <c r="AN54" s="320" t="e">
        <f ca="1">VLOOKUP($H54,'3.Tasks'!$B$4:$BE$23,AN$48,FALSE)</f>
        <v>#N/A</v>
      </c>
      <c r="AO54" s="320" t="e">
        <f ca="1">VLOOKUP($H54,'3.Tasks'!$B$4:$BE$23,AO$48,FALSE)</f>
        <v>#N/A</v>
      </c>
      <c r="AP54" s="320" t="e">
        <f ca="1">VLOOKUP($H54,'3.Tasks'!$B$4:$BE$23,AP$48,FALSE)</f>
        <v>#N/A</v>
      </c>
      <c r="AQ54" s="320" t="e">
        <f ca="1">VLOOKUP($H54,'3.Tasks'!$B$4:$BE$23,AQ$48,FALSE)</f>
        <v>#N/A</v>
      </c>
      <c r="AR54" s="320" t="e">
        <f ca="1">VLOOKUP($H54,'3.Tasks'!$B$4:$BE$23,AR$48,FALSE)</f>
        <v>#N/A</v>
      </c>
      <c r="AS54" s="321" t="e">
        <f ca="1">VLOOKUP($H54,'3.Tasks'!$B$4:$BE$23,AS$48,FALSE)</f>
        <v>#N/A</v>
      </c>
      <c r="AT54" s="319" t="e">
        <f ca="1">VLOOKUP($H54,'3.Tasks'!$B$4:$BE$23,AT$48,FALSE)</f>
        <v>#N/A</v>
      </c>
      <c r="AU54" s="320" t="e">
        <f ca="1">VLOOKUP($H54,'3.Tasks'!$B$4:$BE$23,AU$48,FALSE)</f>
        <v>#N/A</v>
      </c>
      <c r="AV54" s="320" t="e">
        <f ca="1">VLOOKUP($H54,'3.Tasks'!$B$4:$BE$23,AV$48,FALSE)</f>
        <v>#N/A</v>
      </c>
      <c r="AW54" s="320" t="e">
        <f ca="1">VLOOKUP($H54,'3.Tasks'!$B$4:$BE$23,AW$48,FALSE)</f>
        <v>#N/A</v>
      </c>
      <c r="AX54" s="320" t="e">
        <f ca="1">VLOOKUP($H54,'3.Tasks'!$B$4:$BE$23,AX$48,FALSE)</f>
        <v>#N/A</v>
      </c>
      <c r="AY54" s="320" t="e">
        <f ca="1">VLOOKUP($H54,'3.Tasks'!$B$4:$BE$23,AY$48,FALSE)</f>
        <v>#N/A</v>
      </c>
      <c r="AZ54" s="320" t="e">
        <f ca="1">VLOOKUP($H54,'3.Tasks'!$B$4:$BE$23,AZ$48,FALSE)</f>
        <v>#N/A</v>
      </c>
      <c r="BA54" s="320" t="e">
        <f ca="1">VLOOKUP($H54,'3.Tasks'!$B$4:$BE$23,BA$48,FALSE)</f>
        <v>#N/A</v>
      </c>
      <c r="BB54" s="320" t="e">
        <f ca="1">VLOOKUP($H54,'3.Tasks'!$B$4:$BE$23,BB$48,FALSE)</f>
        <v>#N/A</v>
      </c>
      <c r="BC54" s="320" t="e">
        <f ca="1">VLOOKUP($H54,'3.Tasks'!$B$4:$BE$23,BC$48,FALSE)</f>
        <v>#N/A</v>
      </c>
      <c r="BD54" s="320" t="e">
        <f ca="1">VLOOKUP($H54,'3.Tasks'!$B$4:$BE$23,BD$48,FALSE)</f>
        <v>#N/A</v>
      </c>
      <c r="BE54" s="321" t="e">
        <f ca="1">VLOOKUP($H54,'3.Tasks'!$B$4:$BE$23,BE$48,FALSE)</f>
        <v>#N/A</v>
      </c>
      <c r="BZ54" s="347"/>
      <c r="CI54" s="351"/>
      <c r="CJ54" s="351"/>
      <c r="CK54" s="351"/>
      <c r="CL54" s="351"/>
      <c r="CM54" s="351"/>
      <c r="CN54" s="351"/>
      <c r="CO54" s="351"/>
    </row>
    <row r="55" spans="2:110" s="304" customFormat="1" hidden="1">
      <c r="B55" s="344"/>
      <c r="G55" s="727"/>
      <c r="H55" s="728" t="s">
        <v>818</v>
      </c>
      <c r="I55" s="728"/>
      <c r="J55" s="319">
        <f ca="1">VLOOKUP($H55,'3.Tasks'!$B$4:$BE$23,J$48,FALSE)</f>
        <v>0</v>
      </c>
      <c r="K55" s="320">
        <f ca="1">VLOOKUP($H55,'3.Tasks'!$B$4:$BE$23,K$48,FALSE)</f>
        <v>0</v>
      </c>
      <c r="L55" s="320" t="e">
        <f ca="1">VLOOKUP($H55,'3.Tasks'!$B$4:$BE$23,L$48,FALSE)</f>
        <v>#N/A</v>
      </c>
      <c r="M55" s="320" t="e">
        <f ca="1">VLOOKUP($H55,'3.Tasks'!$B$4:$BE$23,M$48,FALSE)</f>
        <v>#N/A</v>
      </c>
      <c r="N55" s="320" t="e">
        <f ca="1">VLOOKUP($H55,'3.Tasks'!$B$4:$BE$23,N$48,FALSE)</f>
        <v>#N/A</v>
      </c>
      <c r="O55" s="320" t="e">
        <f ca="1">VLOOKUP($H55,'3.Tasks'!$B$4:$BE$23,O$48,FALSE)</f>
        <v>#N/A</v>
      </c>
      <c r="P55" s="320" t="e">
        <f ca="1">VLOOKUP($H55,'3.Tasks'!$B$4:$BE$23,P$48,FALSE)</f>
        <v>#N/A</v>
      </c>
      <c r="Q55" s="320" t="e">
        <f ca="1">VLOOKUP($H55,'3.Tasks'!$B$4:$BE$23,Q$48,FALSE)</f>
        <v>#N/A</v>
      </c>
      <c r="R55" s="320" t="e">
        <f ca="1">VLOOKUP($H55,'3.Tasks'!$B$4:$BE$23,R$48,FALSE)</f>
        <v>#N/A</v>
      </c>
      <c r="S55" s="320" t="e">
        <f ca="1">VLOOKUP($H55,'3.Tasks'!$B$4:$BE$23,S$48,FALSE)</f>
        <v>#N/A</v>
      </c>
      <c r="T55" s="320" t="e">
        <f ca="1">VLOOKUP($H55,'3.Tasks'!$B$4:$BE$23,T$48,FALSE)</f>
        <v>#N/A</v>
      </c>
      <c r="U55" s="321" t="e">
        <f ca="1">VLOOKUP($H55,'3.Tasks'!$B$4:$BE$23,U$48,FALSE)</f>
        <v>#N/A</v>
      </c>
      <c r="V55" s="319" t="e">
        <f ca="1">VLOOKUP($H55,'3.Tasks'!$B$4:$BE$23,V$48,FALSE)</f>
        <v>#N/A</v>
      </c>
      <c r="W55" s="320" t="e">
        <f ca="1">VLOOKUP($H55,'3.Tasks'!$B$4:$BE$23,W$48,FALSE)</f>
        <v>#N/A</v>
      </c>
      <c r="X55" s="320" t="e">
        <f ca="1">VLOOKUP($H55,'3.Tasks'!$B$4:$BE$23,X$48,FALSE)</f>
        <v>#N/A</v>
      </c>
      <c r="Y55" s="320" t="e">
        <f ca="1">VLOOKUP($H55,'3.Tasks'!$B$4:$BE$23,Y$48,FALSE)</f>
        <v>#N/A</v>
      </c>
      <c r="Z55" s="320" t="e">
        <f ca="1">VLOOKUP($H55,'3.Tasks'!$B$4:$BE$23,Z$48,FALSE)</f>
        <v>#N/A</v>
      </c>
      <c r="AA55" s="320" t="e">
        <f ca="1">VLOOKUP($H55,'3.Tasks'!$B$4:$BE$23,AA$48,FALSE)</f>
        <v>#N/A</v>
      </c>
      <c r="AB55" s="320" t="e">
        <f ca="1">VLOOKUP($H55,'3.Tasks'!$B$4:$BE$23,AB$48,FALSE)</f>
        <v>#N/A</v>
      </c>
      <c r="AC55" s="320" t="e">
        <f ca="1">VLOOKUP($H55,'3.Tasks'!$B$4:$BE$23,AC$48,FALSE)</f>
        <v>#N/A</v>
      </c>
      <c r="AD55" s="320" t="e">
        <f ca="1">VLOOKUP($H55,'3.Tasks'!$B$4:$BE$23,AD$48,FALSE)</f>
        <v>#N/A</v>
      </c>
      <c r="AE55" s="320" t="e">
        <f ca="1">VLOOKUP($H55,'3.Tasks'!$B$4:$BE$23,AE$48,FALSE)</f>
        <v>#N/A</v>
      </c>
      <c r="AF55" s="320" t="e">
        <f ca="1">VLOOKUP($H55,'3.Tasks'!$B$4:$BE$23,AF$48,FALSE)</f>
        <v>#N/A</v>
      </c>
      <c r="AG55" s="321" t="e">
        <f ca="1">VLOOKUP($H55,'3.Tasks'!$B$4:$BE$23,AG$48,FALSE)</f>
        <v>#N/A</v>
      </c>
      <c r="AH55" s="319" t="e">
        <f ca="1">VLOOKUP($H55,'3.Tasks'!$B$4:$BE$23,AH$48,FALSE)</f>
        <v>#N/A</v>
      </c>
      <c r="AI55" s="320" t="e">
        <f ca="1">VLOOKUP($H55,'3.Tasks'!$B$4:$BE$23,AI$48,FALSE)</f>
        <v>#N/A</v>
      </c>
      <c r="AJ55" s="320" t="e">
        <f ca="1">VLOOKUP($H55,'3.Tasks'!$B$4:$BE$23,AJ$48,FALSE)</f>
        <v>#N/A</v>
      </c>
      <c r="AK55" s="320" t="e">
        <f ca="1">VLOOKUP($H55,'3.Tasks'!$B$4:$BE$23,AK$48,FALSE)</f>
        <v>#N/A</v>
      </c>
      <c r="AL55" s="320" t="e">
        <f ca="1">VLOOKUP($H55,'3.Tasks'!$B$4:$BE$23,AL$48,FALSE)</f>
        <v>#N/A</v>
      </c>
      <c r="AM55" s="320" t="e">
        <f ca="1">VLOOKUP($H55,'3.Tasks'!$B$4:$BE$23,AM$48,FALSE)</f>
        <v>#N/A</v>
      </c>
      <c r="AN55" s="320" t="e">
        <f ca="1">VLOOKUP($H55,'3.Tasks'!$B$4:$BE$23,AN$48,FALSE)</f>
        <v>#N/A</v>
      </c>
      <c r="AO55" s="320" t="e">
        <f ca="1">VLOOKUP($H55,'3.Tasks'!$B$4:$BE$23,AO$48,FALSE)</f>
        <v>#N/A</v>
      </c>
      <c r="AP55" s="320" t="e">
        <f ca="1">VLOOKUP($H55,'3.Tasks'!$B$4:$BE$23,AP$48,FALSE)</f>
        <v>#N/A</v>
      </c>
      <c r="AQ55" s="320" t="e">
        <f ca="1">VLOOKUP($H55,'3.Tasks'!$B$4:$BE$23,AQ$48,FALSE)</f>
        <v>#N/A</v>
      </c>
      <c r="AR55" s="320" t="e">
        <f ca="1">VLOOKUP($H55,'3.Tasks'!$B$4:$BE$23,AR$48,FALSE)</f>
        <v>#N/A</v>
      </c>
      <c r="AS55" s="321" t="e">
        <f ca="1">VLOOKUP($H55,'3.Tasks'!$B$4:$BE$23,AS$48,FALSE)</f>
        <v>#N/A</v>
      </c>
      <c r="AT55" s="319" t="e">
        <f ca="1">VLOOKUP($H55,'3.Tasks'!$B$4:$BE$23,AT$48,FALSE)</f>
        <v>#N/A</v>
      </c>
      <c r="AU55" s="320" t="e">
        <f ca="1">VLOOKUP($H55,'3.Tasks'!$B$4:$BE$23,AU$48,FALSE)</f>
        <v>#N/A</v>
      </c>
      <c r="AV55" s="320" t="e">
        <f ca="1">VLOOKUP($H55,'3.Tasks'!$B$4:$BE$23,AV$48,FALSE)</f>
        <v>#N/A</v>
      </c>
      <c r="AW55" s="320" t="e">
        <f ca="1">VLOOKUP($H55,'3.Tasks'!$B$4:$BE$23,AW$48,FALSE)</f>
        <v>#N/A</v>
      </c>
      <c r="AX55" s="320" t="e">
        <f ca="1">VLOOKUP($H55,'3.Tasks'!$B$4:$BE$23,AX$48,FALSE)</f>
        <v>#N/A</v>
      </c>
      <c r="AY55" s="320" t="e">
        <f ca="1">VLOOKUP($H55,'3.Tasks'!$B$4:$BE$23,AY$48,FALSE)</f>
        <v>#N/A</v>
      </c>
      <c r="AZ55" s="320" t="e">
        <f ca="1">VLOOKUP($H55,'3.Tasks'!$B$4:$BE$23,AZ$48,FALSE)</f>
        <v>#N/A</v>
      </c>
      <c r="BA55" s="320" t="e">
        <f ca="1">VLOOKUP($H55,'3.Tasks'!$B$4:$BE$23,BA$48,FALSE)</f>
        <v>#N/A</v>
      </c>
      <c r="BB55" s="320" t="e">
        <f ca="1">VLOOKUP($H55,'3.Tasks'!$B$4:$BE$23,BB$48,FALSE)</f>
        <v>#N/A</v>
      </c>
      <c r="BC55" s="320" t="e">
        <f ca="1">VLOOKUP($H55,'3.Tasks'!$B$4:$BE$23,BC$48,FALSE)</f>
        <v>#N/A</v>
      </c>
      <c r="BD55" s="320" t="e">
        <f ca="1">VLOOKUP($H55,'3.Tasks'!$B$4:$BE$23,BD$48,FALSE)</f>
        <v>#N/A</v>
      </c>
      <c r="BE55" s="321" t="e">
        <f ca="1">VLOOKUP($H55,'3.Tasks'!$B$4:$BE$23,BE$48,FALSE)</f>
        <v>#N/A</v>
      </c>
      <c r="BZ55" s="347"/>
      <c r="CI55" s="351"/>
      <c r="CJ55" s="351"/>
      <c r="CK55" s="351"/>
      <c r="CL55" s="351"/>
      <c r="CM55" s="351"/>
      <c r="CN55" s="351"/>
      <c r="CO55" s="351"/>
    </row>
    <row r="56" spans="2:110" hidden="1">
      <c r="B56" s="348" t="s">
        <v>287</v>
      </c>
      <c r="C56" s="304"/>
    </row>
    <row r="57" spans="2:110" hidden="1">
      <c r="B57" s="304" t="s">
        <v>285</v>
      </c>
      <c r="C57" s="304" t="s">
        <v>704</v>
      </c>
    </row>
    <row r="58" spans="2:110" hidden="1">
      <c r="B58" s="304" t="s">
        <v>84</v>
      </c>
      <c r="C58" s="304" t="s">
        <v>705</v>
      </c>
    </row>
    <row r="59" spans="2:110" hidden="1">
      <c r="B59" s="304"/>
      <c r="C59" s="304" t="s">
        <v>706</v>
      </c>
    </row>
    <row r="60" spans="2:110" hidden="1"/>
    <row r="61" spans="2:110" hidden="1"/>
    <row r="62" spans="2:110" hidden="1"/>
    <row r="63" spans="2:110" hidden="1">
      <c r="B63" s="262" t="s">
        <v>97</v>
      </c>
      <c r="CH63" s="169" t="s">
        <v>45</v>
      </c>
      <c r="CI63" s="478">
        <f ca="1">+CI34+CI35+CI36+CI37+CI38+CI43+CI44+CI45+CI46+CI47+CI48</f>
        <v>0</v>
      </c>
      <c r="CJ63" s="478">
        <f t="shared" ref="CJ63:DA63" ca="1" si="81">+CJ34+CJ35+CJ36+CJ37+CJ38+CJ43+CJ44+CJ45+CJ46+CJ47+CJ48</f>
        <v>0</v>
      </c>
      <c r="CK63" s="478">
        <f t="shared" ca="1" si="81"/>
        <v>0</v>
      </c>
      <c r="CL63" s="478">
        <f t="shared" ca="1" si="81"/>
        <v>0</v>
      </c>
      <c r="CM63" s="478">
        <f t="shared" ca="1" si="81"/>
        <v>0</v>
      </c>
      <c r="CN63" s="478">
        <f t="shared" ca="1" si="81"/>
        <v>0</v>
      </c>
      <c r="CO63" s="478">
        <f t="shared" ca="1" si="81"/>
        <v>0</v>
      </c>
      <c r="CP63" s="478">
        <f t="shared" ca="1" si="81"/>
        <v>0</v>
      </c>
      <c r="CQ63" s="478">
        <f t="shared" ca="1" si="81"/>
        <v>0</v>
      </c>
      <c r="CR63" s="478">
        <f t="shared" ca="1" si="81"/>
        <v>0</v>
      </c>
      <c r="CS63" s="478">
        <f t="shared" ca="1" si="81"/>
        <v>0</v>
      </c>
      <c r="CT63" s="478">
        <f t="shared" ca="1" si="81"/>
        <v>0</v>
      </c>
      <c r="CU63" s="478">
        <f t="shared" ca="1" si="81"/>
        <v>0</v>
      </c>
      <c r="CV63" s="478">
        <f t="shared" ca="1" si="81"/>
        <v>0</v>
      </c>
      <c r="CW63" s="478">
        <f t="shared" ca="1" si="81"/>
        <v>0</v>
      </c>
      <c r="CX63" s="478">
        <f t="shared" ca="1" si="81"/>
        <v>0</v>
      </c>
      <c r="CY63" s="478">
        <f t="shared" ca="1" si="81"/>
        <v>0</v>
      </c>
      <c r="CZ63" s="478">
        <f t="shared" ca="1" si="81"/>
        <v>0</v>
      </c>
      <c r="DA63" s="478">
        <f t="shared" ca="1" si="81"/>
        <v>0</v>
      </c>
      <c r="DB63" s="478">
        <f ca="1">+DB34+DB35+DB36+DB37+DB38+DB43+DB44+DB45+DB46+DB47+DB48</f>
        <v>0</v>
      </c>
    </row>
    <row r="64" spans="2:110">
      <c r="CB64" s="709" t="s">
        <v>116</v>
      </c>
      <c r="CC64" s="709"/>
      <c r="CD64" s="480"/>
      <c r="CE64" s="480"/>
      <c r="CF64" s="481"/>
      <c r="CG64" s="480"/>
      <c r="CH64" s="480"/>
      <c r="CI64" s="482"/>
      <c r="CJ64" s="482"/>
      <c r="CK64" s="482"/>
      <c r="CL64" s="482"/>
      <c r="CM64" s="482"/>
      <c r="CN64" s="482"/>
      <c r="CO64" s="482"/>
      <c r="CP64" s="480"/>
      <c r="CQ64" s="480"/>
      <c r="CR64" s="480"/>
      <c r="CS64" s="480"/>
      <c r="CT64" s="480"/>
      <c r="CU64" s="480"/>
      <c r="CV64" s="480"/>
      <c r="CW64" s="480"/>
      <c r="CX64" s="480"/>
      <c r="CY64" s="480"/>
      <c r="CZ64" s="480"/>
      <c r="DA64" s="480"/>
      <c r="DB64" s="480"/>
      <c r="DC64" s="483" t="e">
        <f ca="1">+DC48+DC39</f>
        <v>#N/A</v>
      </c>
      <c r="DD64" s="483" t="e">
        <f t="shared" ref="DD64:DF64" ca="1" si="82">+DD48+DD39</f>
        <v>#N/A</v>
      </c>
      <c r="DE64" s="483" t="e">
        <f t="shared" ca="1" si="82"/>
        <v>#N/A</v>
      </c>
      <c r="DF64" s="483" t="e">
        <f t="shared" ca="1" si="82"/>
        <v>#N/A</v>
      </c>
    </row>
    <row r="65" spans="2:77">
      <c r="BF65" s="708" t="s">
        <v>1050</v>
      </c>
      <c r="BG65" s="708"/>
      <c r="BH65" s="708"/>
      <c r="BI65" s="708"/>
      <c r="BJ65" s="708"/>
      <c r="BK65" s="708"/>
      <c r="BL65" s="708"/>
      <c r="BM65" s="708"/>
      <c r="BN65" s="708"/>
      <c r="BO65" s="708"/>
      <c r="BP65" s="708"/>
      <c r="BQ65" s="708"/>
      <c r="BR65" s="708"/>
      <c r="BS65" s="708"/>
      <c r="BT65" s="708"/>
      <c r="BU65" s="708"/>
      <c r="BV65" s="708"/>
      <c r="BW65" s="708"/>
      <c r="BX65" s="708"/>
      <c r="BY65" s="708"/>
    </row>
    <row r="66" spans="2:77">
      <c r="BF66" s="303" t="str">
        <f>+BF42</f>
        <v>S/T</v>
      </c>
      <c r="BG66" s="303" t="str">
        <f t="shared" ref="BG66:BY66" si="83">+BG42</f>
        <v>S/T</v>
      </c>
      <c r="BH66" s="303" t="str">
        <f t="shared" si="83"/>
        <v>S/T</v>
      </c>
      <c r="BI66" s="303" t="str">
        <f t="shared" si="83"/>
        <v>S/T</v>
      </c>
      <c r="BJ66" s="303" t="str">
        <f t="shared" si="83"/>
        <v>S/T</v>
      </c>
      <c r="BK66" s="303" t="str">
        <f t="shared" si="83"/>
        <v>S/T</v>
      </c>
      <c r="BL66" s="303" t="str">
        <f t="shared" si="83"/>
        <v>S/T</v>
      </c>
      <c r="BM66" s="303" t="str">
        <f t="shared" si="83"/>
        <v>S/T</v>
      </c>
      <c r="BN66" s="303" t="str">
        <f t="shared" si="83"/>
        <v>S/T</v>
      </c>
      <c r="BO66" s="303" t="str">
        <f t="shared" si="83"/>
        <v>S/T</v>
      </c>
      <c r="BP66" s="303" t="str">
        <f t="shared" si="83"/>
        <v>S/T</v>
      </c>
      <c r="BQ66" s="303" t="str">
        <f t="shared" si="83"/>
        <v>S/T</v>
      </c>
      <c r="BR66" s="303" t="str">
        <f t="shared" si="83"/>
        <v>S/T</v>
      </c>
      <c r="BS66" s="303" t="str">
        <f t="shared" si="83"/>
        <v>S/T</v>
      </c>
      <c r="BT66" s="303" t="str">
        <f t="shared" si="83"/>
        <v>S/T</v>
      </c>
      <c r="BU66" s="303" t="str">
        <f t="shared" si="83"/>
        <v>S/T</v>
      </c>
      <c r="BV66" s="303" t="str">
        <f t="shared" si="83"/>
        <v>S/T</v>
      </c>
      <c r="BW66" s="303" t="str">
        <f t="shared" si="83"/>
        <v>S/T</v>
      </c>
      <c r="BX66" s="303" t="str">
        <f t="shared" si="83"/>
        <v>S/T</v>
      </c>
      <c r="BY66" s="303" t="str">
        <f t="shared" si="83"/>
        <v>S/T</v>
      </c>
    </row>
    <row r="67" spans="2:77">
      <c r="V67" s="729" t="s">
        <v>1051</v>
      </c>
      <c r="W67" s="729"/>
      <c r="X67" s="729"/>
      <c r="Y67" s="729"/>
      <c r="Z67" s="729"/>
      <c r="AA67" s="729"/>
      <c r="AB67" s="729"/>
      <c r="AC67" s="729"/>
      <c r="AD67" s="729"/>
      <c r="AE67" s="729"/>
      <c r="AF67" s="729"/>
      <c r="AG67" s="729"/>
      <c r="AH67" s="729"/>
      <c r="AI67" s="729"/>
      <c r="AJ67" s="729"/>
      <c r="AK67" s="729"/>
      <c r="AL67" s="729"/>
      <c r="AM67" s="729"/>
      <c r="AN67" s="729"/>
      <c r="AO67" s="729"/>
      <c r="AP67" s="729"/>
      <c r="AQ67" s="729"/>
      <c r="AR67" s="729"/>
      <c r="AS67" s="729"/>
      <c r="AT67" s="729"/>
      <c r="AU67" s="729"/>
      <c r="AV67" s="729"/>
      <c r="AW67" s="729"/>
      <c r="AX67" s="729"/>
      <c r="AY67" s="729"/>
      <c r="AZ67" s="729"/>
      <c r="BA67" s="729"/>
      <c r="BB67" s="729"/>
      <c r="BC67" s="729"/>
      <c r="BD67" s="729"/>
      <c r="BE67" s="729"/>
      <c r="BF67" s="322">
        <f>+SUM(BF43:BF47)+SUM(BF34:BF38)+SUM(BF4:BF26)</f>
        <v>0</v>
      </c>
      <c r="BG67" s="322">
        <f t="shared" ref="BG67:BX67" si="84">+SUM(BG43:BG47)+SUM(BG34:BG38)+SUM(BG4:BG26)</f>
        <v>0</v>
      </c>
      <c r="BH67" s="322">
        <f t="shared" si="84"/>
        <v>0</v>
      </c>
      <c r="BI67" s="322">
        <f t="shared" si="84"/>
        <v>0</v>
      </c>
      <c r="BJ67" s="322">
        <f t="shared" si="84"/>
        <v>0</v>
      </c>
      <c r="BK67" s="322">
        <f t="shared" si="84"/>
        <v>0</v>
      </c>
      <c r="BL67" s="322">
        <f t="shared" si="84"/>
        <v>0</v>
      </c>
      <c r="BM67" s="322">
        <f t="shared" si="84"/>
        <v>0</v>
      </c>
      <c r="BN67" s="322">
        <f t="shared" si="84"/>
        <v>0</v>
      </c>
      <c r="BO67" s="322">
        <f t="shared" si="84"/>
        <v>0</v>
      </c>
      <c r="BP67" s="322">
        <f t="shared" si="84"/>
        <v>0</v>
      </c>
      <c r="BQ67" s="322">
        <f t="shared" si="84"/>
        <v>0</v>
      </c>
      <c r="BR67" s="322">
        <f t="shared" si="84"/>
        <v>0</v>
      </c>
      <c r="BS67" s="322">
        <f t="shared" si="84"/>
        <v>0</v>
      </c>
      <c r="BT67" s="322">
        <f t="shared" si="84"/>
        <v>0</v>
      </c>
      <c r="BU67" s="322">
        <f t="shared" si="84"/>
        <v>0</v>
      </c>
      <c r="BV67" s="322">
        <f t="shared" si="84"/>
        <v>0</v>
      </c>
      <c r="BW67" s="322">
        <f t="shared" si="84"/>
        <v>0</v>
      </c>
      <c r="BX67" s="322">
        <f t="shared" si="84"/>
        <v>0</v>
      </c>
      <c r="BY67" s="322">
        <f>+SUM(BY43:BY47)+SUM(BY34:BY38)+SUM(BY4:BY26)</f>
        <v>0</v>
      </c>
    </row>
    <row r="68" spans="2:77">
      <c r="V68" s="729" t="s">
        <v>1052</v>
      </c>
      <c r="W68" s="729"/>
      <c r="X68" s="729"/>
      <c r="Y68" s="729"/>
      <c r="Z68" s="729"/>
      <c r="AA68" s="729"/>
      <c r="AB68" s="729"/>
      <c r="AC68" s="729"/>
      <c r="AD68" s="729"/>
      <c r="AE68" s="729"/>
      <c r="AF68" s="729"/>
      <c r="AG68" s="729"/>
      <c r="AH68" s="729"/>
      <c r="AI68" s="729"/>
      <c r="AJ68" s="729"/>
      <c r="AK68" s="729"/>
      <c r="AL68" s="729"/>
      <c r="AM68" s="729"/>
      <c r="AN68" s="729"/>
      <c r="AO68" s="729"/>
      <c r="AP68" s="729"/>
      <c r="AQ68" s="729"/>
      <c r="AR68" s="729"/>
      <c r="AS68" s="729"/>
      <c r="AT68" s="729"/>
      <c r="AU68" s="729"/>
      <c r="AV68" s="729"/>
      <c r="AW68" s="729"/>
      <c r="AX68" s="729"/>
      <c r="AY68" s="729"/>
      <c r="AZ68" s="729"/>
      <c r="BA68" s="729"/>
      <c r="BB68" s="729"/>
      <c r="BC68" s="729"/>
      <c r="BD68" s="729"/>
      <c r="BE68" s="729"/>
      <c r="BF68" s="598">
        <f>+BF67*22</f>
        <v>0</v>
      </c>
      <c r="BG68" s="598">
        <f t="shared" ref="BG68:BY68" si="85">+BG67*22</f>
        <v>0</v>
      </c>
      <c r="BH68" s="598">
        <f t="shared" si="85"/>
        <v>0</v>
      </c>
      <c r="BI68" s="598">
        <f t="shared" si="85"/>
        <v>0</v>
      </c>
      <c r="BJ68" s="598">
        <f t="shared" si="85"/>
        <v>0</v>
      </c>
      <c r="BK68" s="598">
        <f t="shared" si="85"/>
        <v>0</v>
      </c>
      <c r="BL68" s="598">
        <f t="shared" si="85"/>
        <v>0</v>
      </c>
      <c r="BM68" s="598">
        <f t="shared" si="85"/>
        <v>0</v>
      </c>
      <c r="BN68" s="598">
        <f t="shared" si="85"/>
        <v>0</v>
      </c>
      <c r="BO68" s="598">
        <f t="shared" si="85"/>
        <v>0</v>
      </c>
      <c r="BP68" s="598">
        <f t="shared" si="85"/>
        <v>0</v>
      </c>
      <c r="BQ68" s="598">
        <f t="shared" si="85"/>
        <v>0</v>
      </c>
      <c r="BR68" s="598">
        <f t="shared" si="85"/>
        <v>0</v>
      </c>
      <c r="BS68" s="598">
        <f t="shared" si="85"/>
        <v>0</v>
      </c>
      <c r="BT68" s="598">
        <f t="shared" si="85"/>
        <v>0</v>
      </c>
      <c r="BU68" s="598">
        <f t="shared" si="85"/>
        <v>0</v>
      </c>
      <c r="BV68" s="598">
        <f t="shared" si="85"/>
        <v>0</v>
      </c>
      <c r="BW68" s="598">
        <f t="shared" si="85"/>
        <v>0</v>
      </c>
      <c r="BX68" s="598">
        <f t="shared" si="85"/>
        <v>0</v>
      </c>
      <c r="BY68" s="598">
        <f t="shared" si="85"/>
        <v>0</v>
      </c>
    </row>
    <row r="69" spans="2:77">
      <c r="V69" s="729" t="s">
        <v>1053</v>
      </c>
      <c r="W69" s="729"/>
      <c r="X69" s="729"/>
      <c r="Y69" s="729"/>
      <c r="Z69" s="729"/>
      <c r="AA69" s="729"/>
      <c r="AB69" s="729"/>
      <c r="AC69" s="729"/>
      <c r="AD69" s="729"/>
      <c r="AE69" s="729"/>
      <c r="AF69" s="729"/>
      <c r="AG69" s="729"/>
      <c r="AH69" s="729"/>
      <c r="AI69" s="729"/>
      <c r="AJ69" s="729"/>
      <c r="AK69" s="729"/>
      <c r="AL69" s="729"/>
      <c r="AM69" s="729"/>
      <c r="AN69" s="729"/>
      <c r="AO69" s="729"/>
      <c r="AP69" s="729"/>
      <c r="AQ69" s="729"/>
      <c r="AR69" s="729"/>
      <c r="AS69" s="729"/>
      <c r="AT69" s="729"/>
      <c r="AU69" s="729"/>
      <c r="AV69" s="729"/>
      <c r="AW69" s="729"/>
      <c r="AX69" s="729"/>
      <c r="AY69" s="729"/>
      <c r="AZ69" s="729"/>
      <c r="BA69" s="729"/>
      <c r="BB69" s="729"/>
      <c r="BC69" s="729"/>
      <c r="BD69" s="729"/>
      <c r="BE69" s="729"/>
      <c r="BF69" s="598">
        <f>+BF68*7</f>
        <v>0</v>
      </c>
      <c r="BG69" s="598">
        <f t="shared" ref="BG69:BY69" si="86">+BG68*7</f>
        <v>0</v>
      </c>
      <c r="BH69" s="598">
        <f t="shared" si="86"/>
        <v>0</v>
      </c>
      <c r="BI69" s="598">
        <f t="shared" si="86"/>
        <v>0</v>
      </c>
      <c r="BJ69" s="598">
        <f t="shared" si="86"/>
        <v>0</v>
      </c>
      <c r="BK69" s="598">
        <f t="shared" si="86"/>
        <v>0</v>
      </c>
      <c r="BL69" s="598">
        <f t="shared" si="86"/>
        <v>0</v>
      </c>
      <c r="BM69" s="598">
        <f t="shared" si="86"/>
        <v>0</v>
      </c>
      <c r="BN69" s="598">
        <f t="shared" si="86"/>
        <v>0</v>
      </c>
      <c r="BO69" s="598">
        <f t="shared" si="86"/>
        <v>0</v>
      </c>
      <c r="BP69" s="598">
        <f t="shared" si="86"/>
        <v>0</v>
      </c>
      <c r="BQ69" s="598">
        <f t="shared" si="86"/>
        <v>0</v>
      </c>
      <c r="BR69" s="598">
        <f t="shared" si="86"/>
        <v>0</v>
      </c>
      <c r="BS69" s="598">
        <f t="shared" si="86"/>
        <v>0</v>
      </c>
      <c r="BT69" s="598">
        <f t="shared" si="86"/>
        <v>0</v>
      </c>
      <c r="BU69" s="598">
        <f t="shared" si="86"/>
        <v>0</v>
      </c>
      <c r="BV69" s="598">
        <f t="shared" si="86"/>
        <v>0</v>
      </c>
      <c r="BW69" s="598">
        <f t="shared" si="86"/>
        <v>0</v>
      </c>
      <c r="BX69" s="598">
        <f t="shared" si="86"/>
        <v>0</v>
      </c>
      <c r="BY69" s="598">
        <f t="shared" si="86"/>
        <v>0</v>
      </c>
    </row>
    <row r="70" spans="2:77">
      <c r="BF70" s="730" t="s">
        <v>1054</v>
      </c>
      <c r="BG70" s="730"/>
      <c r="BH70" s="730"/>
      <c r="BI70" s="730"/>
      <c r="BJ70" s="730"/>
      <c r="BK70" s="730"/>
      <c r="BL70" s="730"/>
      <c r="BM70" s="730"/>
      <c r="BN70" s="730"/>
      <c r="BO70" s="730"/>
      <c r="BP70" s="730"/>
      <c r="BQ70" s="730"/>
      <c r="BR70" s="730"/>
      <c r="BS70" s="730"/>
      <c r="BT70" s="730"/>
      <c r="BU70" s="730"/>
      <c r="BV70" s="730"/>
      <c r="BW70" s="730"/>
      <c r="BX70" s="730"/>
      <c r="BY70" s="730"/>
    </row>
    <row r="71" spans="2:77">
      <c r="B71" s="515" t="s">
        <v>97</v>
      </c>
    </row>
    <row r="72" spans="2:77">
      <c r="B72" s="169" t="str">
        <f>+Info!B1</f>
        <v>Ficheiro Apoio_LUMP SUM_V2026.02.24</v>
      </c>
    </row>
    <row r="73" spans="2:77">
      <c r="BF73" s="590"/>
    </row>
  </sheetData>
  <sheetProtection algorithmName="SHA-512" hashValue="7du4Oj0wSY7Ia4Btuc2i84ydPJJihqluGofIKuSsuYwNL+BX7D7mAN2gpRg58BsVwP3bOmxrMq3wHe+iDo51xA==" saltValue="C1m35OmOcKow/XHrK7y1Zw==" spinCount="100000" sheet="1" objects="1" scenarios="1"/>
  <dataConsolidate/>
  <mergeCells count="47">
    <mergeCell ref="V69:BE69"/>
    <mergeCell ref="BF70:BY70"/>
    <mergeCell ref="BF65:BY65"/>
    <mergeCell ref="V67:BE67"/>
    <mergeCell ref="V68:BE68"/>
    <mergeCell ref="G49:G55"/>
    <mergeCell ref="H49:I49"/>
    <mergeCell ref="H50:I50"/>
    <mergeCell ref="H51:I51"/>
    <mergeCell ref="H52:I52"/>
    <mergeCell ref="H53:I53"/>
    <mergeCell ref="H54:I54"/>
    <mergeCell ref="H55:I55"/>
    <mergeCell ref="D47:F47"/>
    <mergeCell ref="B41:I41"/>
    <mergeCell ref="D44:F44"/>
    <mergeCell ref="D45:F45"/>
    <mergeCell ref="B1:I1"/>
    <mergeCell ref="B3:I3"/>
    <mergeCell ref="D42:F42"/>
    <mergeCell ref="D43:F43"/>
    <mergeCell ref="B32:I32"/>
    <mergeCell ref="AT1:BE1"/>
    <mergeCell ref="AT32:BE32"/>
    <mergeCell ref="AT41:BE41"/>
    <mergeCell ref="D46:F46"/>
    <mergeCell ref="V41:AG41"/>
    <mergeCell ref="AH41:AS41"/>
    <mergeCell ref="J1:U1"/>
    <mergeCell ref="J41:U41"/>
    <mergeCell ref="J32:U32"/>
    <mergeCell ref="V1:AG1"/>
    <mergeCell ref="AH1:AS1"/>
    <mergeCell ref="V32:AG32"/>
    <mergeCell ref="AH32:AS32"/>
    <mergeCell ref="V27:BE27"/>
    <mergeCell ref="V39:BE39"/>
    <mergeCell ref="BF1:BY1"/>
    <mergeCell ref="BF32:BY32"/>
    <mergeCell ref="DC32:DF32"/>
    <mergeCell ref="DC41:DF41"/>
    <mergeCell ref="CB64:CC64"/>
    <mergeCell ref="CI32:DB32"/>
    <mergeCell ref="CI41:DB41"/>
    <mergeCell ref="CB41:CC41"/>
    <mergeCell ref="CB32:CC32"/>
    <mergeCell ref="BF41:BY41"/>
  </mergeCells>
  <conditionalFormatting sqref="C4 E4:F4 D5:G6 C26:H26 C7:G25">
    <cfRule type="containsBlanks" dxfId="369" priority="303">
      <formula>LEN(TRIM(C4))=0</formula>
    </cfRule>
  </conditionalFormatting>
  <conditionalFormatting sqref="C43:C47">
    <cfRule type="containsBlanks" dxfId="368" priority="308">
      <formula>LEN(TRIM(C43))=0</formula>
    </cfRule>
  </conditionalFormatting>
  <conditionalFormatting sqref="C4:D4 C7:D26 D5:D6">
    <cfRule type="duplicateValues" dxfId="367" priority="302"/>
  </conditionalFormatting>
  <conditionalFormatting sqref="C34:E38">
    <cfRule type="containsBlanks" dxfId="366" priority="234">
      <formula>LEN(TRIM(C34))=0</formula>
    </cfRule>
  </conditionalFormatting>
  <conditionalFormatting sqref="D4 D6:D26">
    <cfRule type="duplicateValues" dxfId="365" priority="310"/>
  </conditionalFormatting>
  <conditionalFormatting sqref="D5">
    <cfRule type="duplicateValues" dxfId="364" priority="236"/>
    <cfRule type="duplicateValues" dxfId="363" priority="309"/>
  </conditionalFormatting>
  <conditionalFormatting sqref="G34:H38">
    <cfRule type="containsBlanks" dxfId="362" priority="354">
      <formula>LEN(TRIM(G34))=0</formula>
    </cfRule>
  </conditionalFormatting>
  <conditionalFormatting sqref="G43:H47">
    <cfRule type="containsBlanks" dxfId="361" priority="353">
      <formula>LEN(TRIM(G43))=0</formula>
    </cfRule>
  </conditionalFormatting>
  <conditionalFormatting sqref="J39:U39">
    <cfRule type="cellIs" dxfId="360" priority="349" operator="equal">
      <formula>0</formula>
    </cfRule>
    <cfRule type="cellIs" dxfId="359" priority="350" operator="equal">
      <formula>1</formula>
    </cfRule>
  </conditionalFormatting>
  <conditionalFormatting sqref="J3:BE3">
    <cfRule type="cellIs" dxfId="358" priority="222" operator="equal">
      <formula>1</formula>
    </cfRule>
    <cfRule type="cellIs" dxfId="357" priority="223" operator="equal">
      <formula>0</formula>
    </cfRule>
  </conditionalFormatting>
  <conditionalFormatting sqref="J4:BE26">
    <cfRule type="cellIs" dxfId="356" priority="208" operator="equal">
      <formula>0</formula>
    </cfRule>
    <cfRule type="cellIs" dxfId="355" priority="209" operator="equal">
      <formula>1</formula>
    </cfRule>
  </conditionalFormatting>
  <conditionalFormatting sqref="J34:BE38">
    <cfRule type="cellIs" dxfId="354" priority="190" operator="equal">
      <formula>1</formula>
    </cfRule>
  </conditionalFormatting>
  <conditionalFormatting sqref="J43:BE47">
    <cfRule type="cellIs" dxfId="353" priority="188" operator="equal">
      <formula>1</formula>
    </cfRule>
  </conditionalFormatting>
  <conditionalFormatting sqref="J49:BE55">
    <cfRule type="cellIs" dxfId="352" priority="192" operator="equal">
      <formula>0</formula>
    </cfRule>
    <cfRule type="cellIs" dxfId="351" priority="193" operator="equal">
      <formula>1</formula>
    </cfRule>
  </conditionalFormatting>
  <conditionalFormatting sqref="J34:BF37 J38:BE38">
    <cfRule type="cellIs" dxfId="350" priority="186" operator="equal">
      <formula>0</formula>
    </cfRule>
  </conditionalFormatting>
  <conditionalFormatting sqref="J43:BF47">
    <cfRule type="cellIs" dxfId="349" priority="184" operator="equal">
      <formula>0</formula>
    </cfRule>
  </conditionalFormatting>
  <conditionalFormatting sqref="BG19:BY26 BF4:BF26">
    <cfRule type="cellIs" dxfId="348" priority="324" operator="equal">
      <formula>0</formula>
    </cfRule>
  </conditionalFormatting>
  <conditionalFormatting sqref="BF4:BF26">
    <cfRule type="cellIs" dxfId="347" priority="301" operator="greaterThan">
      <formula>$BF$27</formula>
    </cfRule>
  </conditionalFormatting>
  <conditionalFormatting sqref="BF34:BF37">
    <cfRule type="cellIs" dxfId="346" priority="185" operator="greaterThan">
      <formula>$BF$27</formula>
    </cfRule>
  </conditionalFormatting>
  <conditionalFormatting sqref="BF43:BF47">
    <cfRule type="cellIs" dxfId="345" priority="183" operator="greaterThan">
      <formula>$BF$27</formula>
    </cfRule>
  </conditionalFormatting>
  <conditionalFormatting sqref="BF2:BY2 BF33:BY33 BF42:BY42">
    <cfRule type="containsText" dxfId="344" priority="239" operator="containsText" text="S/T">
      <formula>NOT(ISERROR(SEARCH("S/T",BF2)))</formula>
    </cfRule>
  </conditionalFormatting>
  <conditionalFormatting sqref="BF27:BY27">
    <cfRule type="cellIs" dxfId="343" priority="314" operator="equal">
      <formula>0</formula>
    </cfRule>
  </conditionalFormatting>
  <conditionalFormatting sqref="BF39:BY39">
    <cfRule type="cellIs" dxfId="342" priority="316" operator="equal">
      <formula>0</formula>
    </cfRule>
  </conditionalFormatting>
  <conditionalFormatting sqref="BF48:BY48">
    <cfRule type="cellIs" dxfId="341" priority="322" operator="equal">
      <formula>0</formula>
    </cfRule>
  </conditionalFormatting>
  <conditionalFormatting sqref="BG4:BG26">
    <cfRule type="cellIs" dxfId="340" priority="300" operator="greaterThan">
      <formula>$BG$27</formula>
    </cfRule>
  </conditionalFormatting>
  <conditionalFormatting sqref="BG34:BG37">
    <cfRule type="cellIs" dxfId="339" priority="278" operator="greaterThan">
      <formula>$BG$39</formula>
    </cfRule>
  </conditionalFormatting>
  <conditionalFormatting sqref="BG43:BG47">
    <cfRule type="cellIs" dxfId="338" priority="258" operator="greaterThan">
      <formula>$BG$48</formula>
    </cfRule>
  </conditionalFormatting>
  <conditionalFormatting sqref="BG34:BY37 BL38:BY38">
    <cfRule type="cellIs" dxfId="337" priority="339" operator="equal">
      <formula>0</formula>
    </cfRule>
  </conditionalFormatting>
  <conditionalFormatting sqref="BG43:BY47">
    <cfRule type="cellIs" dxfId="336" priority="337" operator="equal">
      <formula>0</formula>
    </cfRule>
  </conditionalFormatting>
  <conditionalFormatting sqref="BH4:BH26">
    <cfRule type="cellIs" dxfId="335" priority="297" operator="greaterThan">
      <formula>$BH$27</formula>
    </cfRule>
  </conditionalFormatting>
  <conditionalFormatting sqref="BH34:BH37">
    <cfRule type="cellIs" dxfId="334" priority="277" operator="greaterThan">
      <formula>$BH$39</formula>
    </cfRule>
  </conditionalFormatting>
  <conditionalFormatting sqref="BH43:BH47">
    <cfRule type="cellIs" dxfId="333" priority="257" operator="greaterThan">
      <formula>$BH$48</formula>
    </cfRule>
  </conditionalFormatting>
  <conditionalFormatting sqref="BI4:BI26">
    <cfRule type="cellIs" dxfId="332" priority="296" operator="greaterThan">
      <formula>$BI$27</formula>
    </cfRule>
  </conditionalFormatting>
  <conditionalFormatting sqref="BI34:BI37">
    <cfRule type="cellIs" dxfId="331" priority="276" operator="greaterThan">
      <formula>$BI$39</formula>
    </cfRule>
  </conditionalFormatting>
  <conditionalFormatting sqref="BI43:BI47">
    <cfRule type="cellIs" dxfId="330" priority="256" operator="greaterThan">
      <formula>$BI$48</formula>
    </cfRule>
  </conditionalFormatting>
  <conditionalFormatting sqref="BJ4:BJ26">
    <cfRule type="cellIs" dxfId="329" priority="295" operator="greaterThan">
      <formula>$BJ$27</formula>
    </cfRule>
  </conditionalFormatting>
  <conditionalFormatting sqref="BJ34:BJ37">
    <cfRule type="cellIs" dxfId="328" priority="191" operator="greaterThan">
      <formula>$BJ$39</formula>
    </cfRule>
  </conditionalFormatting>
  <conditionalFormatting sqref="BJ43:BJ47">
    <cfRule type="cellIs" dxfId="327" priority="255" operator="greaterThan">
      <formula>$BJ$48</formula>
    </cfRule>
  </conditionalFormatting>
  <conditionalFormatting sqref="BK4:BK18">
    <cfRule type="cellIs" dxfId="326" priority="328" operator="equal">
      <formula>0</formula>
    </cfRule>
  </conditionalFormatting>
  <conditionalFormatting sqref="BK4:BK26">
    <cfRule type="cellIs" dxfId="325" priority="294" operator="greaterThan">
      <formula>$BK$27</formula>
    </cfRule>
  </conditionalFormatting>
  <conditionalFormatting sqref="BK34:BK37">
    <cfRule type="cellIs" dxfId="324" priority="274" operator="greaterThan">
      <formula>$BK$39</formula>
    </cfRule>
  </conditionalFormatting>
  <conditionalFormatting sqref="BK43:BK47">
    <cfRule type="cellIs" dxfId="323" priority="254" operator="greaterThan">
      <formula>$BK$48</formula>
    </cfRule>
  </conditionalFormatting>
  <conditionalFormatting sqref="BL4:BL26">
    <cfRule type="cellIs" dxfId="322" priority="293" operator="greaterThan">
      <formula>$BL$27</formula>
    </cfRule>
  </conditionalFormatting>
  <conditionalFormatting sqref="BL34:BL38">
    <cfRule type="cellIs" dxfId="321" priority="273" operator="greaterThan">
      <formula>$BL$39</formula>
    </cfRule>
  </conditionalFormatting>
  <conditionalFormatting sqref="BL43:BL47">
    <cfRule type="cellIs" dxfId="320" priority="253" operator="greaterThan">
      <formula>$BL$48</formula>
    </cfRule>
  </conditionalFormatting>
  <conditionalFormatting sqref="BM4:BM26">
    <cfRule type="cellIs" dxfId="319" priority="292" operator="greaterThan">
      <formula>$BM$27</formula>
    </cfRule>
  </conditionalFormatting>
  <conditionalFormatting sqref="BM34:BM38">
    <cfRule type="cellIs" dxfId="318" priority="272" operator="greaterThan">
      <formula>$BM$39</formula>
    </cfRule>
  </conditionalFormatting>
  <conditionalFormatting sqref="BM43:BM47">
    <cfRule type="cellIs" dxfId="317" priority="252" operator="greaterThan">
      <formula>$BM$48</formula>
    </cfRule>
  </conditionalFormatting>
  <conditionalFormatting sqref="BN4:BN26">
    <cfRule type="cellIs" dxfId="316" priority="291" operator="greaterThan">
      <formula>$BN$27</formula>
    </cfRule>
  </conditionalFormatting>
  <conditionalFormatting sqref="BN34:BN38">
    <cfRule type="cellIs" dxfId="315" priority="271" operator="greaterThan">
      <formula>$BN$39</formula>
    </cfRule>
  </conditionalFormatting>
  <conditionalFormatting sqref="BN43:BN47">
    <cfRule type="cellIs" dxfId="314" priority="251" operator="greaterThan">
      <formula>$BN$48</formula>
    </cfRule>
  </conditionalFormatting>
  <conditionalFormatting sqref="BO4:BO26">
    <cfRule type="cellIs" dxfId="313" priority="290" operator="greaterThan">
      <formula>$BO$27</formula>
    </cfRule>
  </conditionalFormatting>
  <conditionalFormatting sqref="BO34:BO38">
    <cfRule type="cellIs" dxfId="312" priority="270" operator="greaterThan">
      <formula>$BO$39</formula>
    </cfRule>
  </conditionalFormatting>
  <conditionalFormatting sqref="BO43:BO47">
    <cfRule type="cellIs" dxfId="311" priority="250" operator="greaterThan">
      <formula>$BO$48</formula>
    </cfRule>
  </conditionalFormatting>
  <conditionalFormatting sqref="BP4:BP26">
    <cfRule type="cellIs" dxfId="310" priority="289" operator="greaterThan">
      <formula>$BP$27</formula>
    </cfRule>
  </conditionalFormatting>
  <conditionalFormatting sqref="BP34:BP38">
    <cfRule type="cellIs" dxfId="309" priority="269" operator="greaterThan">
      <formula>$BP$39</formula>
    </cfRule>
  </conditionalFormatting>
  <conditionalFormatting sqref="BP43:BP47">
    <cfRule type="cellIs" dxfId="308" priority="249" operator="greaterThan">
      <formula>$BP$48</formula>
    </cfRule>
  </conditionalFormatting>
  <conditionalFormatting sqref="BQ4:BQ26">
    <cfRule type="cellIs" dxfId="307" priority="288" operator="greaterThan">
      <formula>$BQ$27</formula>
    </cfRule>
  </conditionalFormatting>
  <conditionalFormatting sqref="BQ34:BQ38">
    <cfRule type="cellIs" dxfId="306" priority="268" operator="greaterThan">
      <formula>$BQ$39</formula>
    </cfRule>
  </conditionalFormatting>
  <conditionalFormatting sqref="BQ43:BQ47">
    <cfRule type="cellIs" dxfId="305" priority="248" operator="greaterThan">
      <formula>$BQ$48</formula>
    </cfRule>
  </conditionalFormatting>
  <conditionalFormatting sqref="BR4:BR26">
    <cfRule type="cellIs" dxfId="304" priority="287" operator="greaterThan">
      <formula>$BR$27</formula>
    </cfRule>
  </conditionalFormatting>
  <conditionalFormatting sqref="BR34:BR38">
    <cfRule type="cellIs" dxfId="303" priority="267" operator="greaterThan">
      <formula>$BR$39</formula>
    </cfRule>
  </conditionalFormatting>
  <conditionalFormatting sqref="BR43:BR47">
    <cfRule type="cellIs" dxfId="302" priority="247" operator="greaterThan">
      <formula>$BR$48</formula>
    </cfRule>
  </conditionalFormatting>
  <conditionalFormatting sqref="BS4:BS26">
    <cfRule type="cellIs" dxfId="301" priority="286" operator="greaterThan">
      <formula>$BS$27</formula>
    </cfRule>
  </conditionalFormatting>
  <conditionalFormatting sqref="BS34:BS38">
    <cfRule type="cellIs" dxfId="300" priority="266" operator="greaterThan">
      <formula>$BS$39</formula>
    </cfRule>
  </conditionalFormatting>
  <conditionalFormatting sqref="BS43:BS47">
    <cfRule type="cellIs" dxfId="299" priority="246" operator="greaterThan">
      <formula>$BS$48</formula>
    </cfRule>
  </conditionalFormatting>
  <conditionalFormatting sqref="BT4:BT26">
    <cfRule type="cellIs" dxfId="298" priority="285" operator="greaterThan">
      <formula>$BT$27</formula>
    </cfRule>
  </conditionalFormatting>
  <conditionalFormatting sqref="BT34:BT38">
    <cfRule type="cellIs" dxfId="297" priority="265" operator="greaterThan">
      <formula>$BT$39</formula>
    </cfRule>
  </conditionalFormatting>
  <conditionalFormatting sqref="BT43:BT47">
    <cfRule type="cellIs" dxfId="296" priority="245" operator="greaterThan">
      <formula>$BT$48</formula>
    </cfRule>
  </conditionalFormatting>
  <conditionalFormatting sqref="BU4:BU26">
    <cfRule type="cellIs" dxfId="295" priority="284" operator="greaterThan">
      <formula>$BU$27</formula>
    </cfRule>
  </conditionalFormatting>
  <conditionalFormatting sqref="BU34:BU38">
    <cfRule type="cellIs" dxfId="294" priority="264" operator="greaterThan">
      <formula>$BU$39</formula>
    </cfRule>
  </conditionalFormatting>
  <conditionalFormatting sqref="BU43:BU47">
    <cfRule type="cellIs" dxfId="293" priority="244" operator="greaterThan">
      <formula>$BU$48</formula>
    </cfRule>
  </conditionalFormatting>
  <conditionalFormatting sqref="BV4:BV26">
    <cfRule type="cellIs" dxfId="292" priority="283" operator="greaterThan">
      <formula>$BV$27</formula>
    </cfRule>
  </conditionalFormatting>
  <conditionalFormatting sqref="BV34:BV38">
    <cfRule type="cellIs" dxfId="291" priority="263" operator="greaterThan">
      <formula>$BV$39</formula>
    </cfRule>
  </conditionalFormatting>
  <conditionalFormatting sqref="BV43:BV47">
    <cfRule type="cellIs" dxfId="290" priority="243" operator="greaterThan">
      <formula>$BV$48</formula>
    </cfRule>
  </conditionalFormatting>
  <conditionalFormatting sqref="BW4:BW26">
    <cfRule type="cellIs" dxfId="289" priority="282" operator="greaterThan">
      <formula>$BW$27</formula>
    </cfRule>
  </conditionalFormatting>
  <conditionalFormatting sqref="BW34:BW38">
    <cfRule type="cellIs" dxfId="288" priority="262" operator="greaterThan">
      <formula>$BW$39</formula>
    </cfRule>
  </conditionalFormatting>
  <conditionalFormatting sqref="BW43:BW47">
    <cfRule type="cellIs" dxfId="287" priority="242" operator="greaterThan">
      <formula>$BW$48</formula>
    </cfRule>
  </conditionalFormatting>
  <conditionalFormatting sqref="BX4:BX26">
    <cfRule type="cellIs" dxfId="286" priority="281" operator="greaterThan">
      <formula>$BX$27</formula>
    </cfRule>
  </conditionalFormatting>
  <conditionalFormatting sqref="BX34:BX38">
    <cfRule type="cellIs" dxfId="285" priority="261" operator="greaterThan">
      <formula>$BX$39</formula>
    </cfRule>
  </conditionalFormatting>
  <conditionalFormatting sqref="BX43:BX47">
    <cfRule type="cellIs" dxfId="284" priority="241" operator="greaterThan">
      <formula>$BX$48</formula>
    </cfRule>
  </conditionalFormatting>
  <conditionalFormatting sqref="BY4:BY26">
    <cfRule type="cellIs" dxfId="283" priority="280" operator="greaterThan">
      <formula>$BY$27</formula>
    </cfRule>
  </conditionalFormatting>
  <conditionalFormatting sqref="BY34:BY38">
    <cfRule type="cellIs" dxfId="282" priority="260" operator="greaterThan">
      <formula>$BY$39</formula>
    </cfRule>
  </conditionalFormatting>
  <conditionalFormatting sqref="BY43:BY47">
    <cfRule type="cellIs" dxfId="281" priority="240" operator="greaterThan">
      <formula>$BY$48</formula>
    </cfRule>
  </conditionalFormatting>
  <conditionalFormatting sqref="CA4:CA26">
    <cfRule type="containsText" dxfId="280" priority="336" operator="containsText" text="Alert">
      <formula>NOT(ISERROR(SEARCH("Alert",CA4)))</formula>
    </cfRule>
  </conditionalFormatting>
  <conditionalFormatting sqref="CA34:CA39">
    <cfRule type="containsText" dxfId="279" priority="331" operator="containsText" text="Alert">
      <formula>NOT(ISERROR(SEARCH("Alert",CA34)))</formula>
    </cfRule>
  </conditionalFormatting>
  <conditionalFormatting sqref="CA43:CA47">
    <cfRule type="containsText" dxfId="278" priority="330" operator="containsText" text="Alert">
      <formula>NOT(ISERROR(SEARCH("Alert",CA43)))</formula>
    </cfRule>
  </conditionalFormatting>
  <conditionalFormatting sqref="CI49:DB49">
    <cfRule type="cellIs" dxfId="277" priority="180" operator="equal">
      <formula>0</formula>
    </cfRule>
  </conditionalFormatting>
  <conditionalFormatting sqref="CI30:CI31">
    <cfRule type="cellIs" dxfId="276" priority="93" operator="equal">
      <formula>0</formula>
    </cfRule>
  </conditionalFormatting>
  <conditionalFormatting sqref="CI30:CI31">
    <cfRule type="cellIs" dxfId="275" priority="92" operator="greaterThan">
      <formula>$BF$27</formula>
    </cfRule>
  </conditionalFormatting>
  <conditionalFormatting sqref="CI29:DB29">
    <cfRule type="containsText" dxfId="274" priority="95" operator="containsText" text="S/T">
      <formula>NOT(ISERROR(SEARCH("S/T",CI29)))</formula>
    </cfRule>
  </conditionalFormatting>
  <conditionalFormatting sqref="CJ30:CJ31">
    <cfRule type="cellIs" dxfId="273" priority="132" operator="greaterThan">
      <formula>$BG$39</formula>
    </cfRule>
  </conditionalFormatting>
  <conditionalFormatting sqref="CJ30:DB31">
    <cfRule type="cellIs" dxfId="272" priority="135" operator="equal">
      <formula>0</formula>
    </cfRule>
  </conditionalFormatting>
  <conditionalFormatting sqref="CK30:CK31">
    <cfRule type="cellIs" dxfId="271" priority="131" operator="greaterThan">
      <formula>$BH$39</formula>
    </cfRule>
  </conditionalFormatting>
  <conditionalFormatting sqref="CL30:CL31">
    <cfRule type="cellIs" dxfId="270" priority="130" operator="greaterThan">
      <formula>$BI$39</formula>
    </cfRule>
  </conditionalFormatting>
  <conditionalFormatting sqref="CM30:CM31">
    <cfRule type="cellIs" dxfId="269" priority="94" operator="greaterThan">
      <formula>$BJ$39</formula>
    </cfRule>
  </conditionalFormatting>
  <conditionalFormatting sqref="CN30:CN31">
    <cfRule type="cellIs" dxfId="268" priority="129" operator="greaterThan">
      <formula>$BK$39</formula>
    </cfRule>
  </conditionalFormatting>
  <conditionalFormatting sqref="CO30:CO31">
    <cfRule type="cellIs" dxfId="267" priority="128" operator="greaterThan">
      <formula>$BL$39</formula>
    </cfRule>
  </conditionalFormatting>
  <conditionalFormatting sqref="CP30:CP31">
    <cfRule type="cellIs" dxfId="266" priority="127" operator="greaterThan">
      <formula>$BM$39</formula>
    </cfRule>
  </conditionalFormatting>
  <conditionalFormatting sqref="CQ30:CQ31">
    <cfRule type="cellIs" dxfId="265" priority="126" operator="greaterThan">
      <formula>$BN$39</formula>
    </cfRule>
  </conditionalFormatting>
  <conditionalFormatting sqref="CR30:CR31">
    <cfRule type="cellIs" dxfId="264" priority="125" operator="greaterThan">
      <formula>$BO$39</formula>
    </cfRule>
  </conditionalFormatting>
  <conditionalFormatting sqref="CS30:CS31">
    <cfRule type="cellIs" dxfId="263" priority="124" operator="greaterThan">
      <formula>$BP$39</formula>
    </cfRule>
  </conditionalFormatting>
  <conditionalFormatting sqref="CT30:CT31">
    <cfRule type="cellIs" dxfId="262" priority="123" operator="greaterThan">
      <formula>$BQ$39</formula>
    </cfRule>
  </conditionalFormatting>
  <conditionalFormatting sqref="CU30:CU31">
    <cfRule type="cellIs" dxfId="261" priority="122" operator="greaterThan">
      <formula>$BR$39</formula>
    </cfRule>
  </conditionalFormatting>
  <conditionalFormatting sqref="CV30:CV31">
    <cfRule type="cellIs" dxfId="260" priority="121" operator="greaterThan">
      <formula>$BS$39</formula>
    </cfRule>
  </conditionalFormatting>
  <conditionalFormatting sqref="CW30:CW31">
    <cfRule type="cellIs" dxfId="259" priority="120" operator="greaterThan">
      <formula>$BT$39</formula>
    </cfRule>
  </conditionalFormatting>
  <conditionalFormatting sqref="CX30:CX31">
    <cfRule type="cellIs" dxfId="258" priority="119" operator="greaterThan">
      <formula>$BU$39</formula>
    </cfRule>
  </conditionalFormatting>
  <conditionalFormatting sqref="CY30:CY31">
    <cfRule type="cellIs" dxfId="257" priority="118" operator="greaterThan">
      <formula>$BV$39</formula>
    </cfRule>
  </conditionalFormatting>
  <conditionalFormatting sqref="CZ30:CZ31">
    <cfRule type="cellIs" dxfId="256" priority="117" operator="greaterThan">
      <formula>$BW$39</formula>
    </cfRule>
  </conditionalFormatting>
  <conditionalFormatting sqref="DA30:DA31">
    <cfRule type="cellIs" dxfId="255" priority="116" operator="greaterThan">
      <formula>$BX$39</formula>
    </cfRule>
  </conditionalFormatting>
  <conditionalFormatting sqref="DB30:DB31">
    <cfRule type="cellIs" dxfId="254" priority="115" operator="greaterThan">
      <formula>$BY$39</formula>
    </cfRule>
  </conditionalFormatting>
  <conditionalFormatting sqref="CI34:DB38">
    <cfRule type="cellIs" dxfId="253" priority="46" operator="equal">
      <formula>0</formula>
    </cfRule>
  </conditionalFormatting>
  <conditionalFormatting sqref="CI33:DB33 CI42:DB42">
    <cfRule type="containsText" dxfId="252" priority="48" operator="containsText" text="S/T">
      <formula>NOT(ISERROR(SEARCH("S/T",CI33)))</formula>
    </cfRule>
  </conditionalFormatting>
  <conditionalFormatting sqref="BF38">
    <cfRule type="cellIs" dxfId="251" priority="36" operator="equal">
      <formula>0</formula>
    </cfRule>
  </conditionalFormatting>
  <conditionalFormatting sqref="BF38">
    <cfRule type="cellIs" dxfId="250" priority="35" operator="greaterThan">
      <formula>$BF$27</formula>
    </cfRule>
  </conditionalFormatting>
  <conditionalFormatting sqref="BG38">
    <cfRule type="cellIs" dxfId="249" priority="41" operator="greaterThan">
      <formula>$BG$39</formula>
    </cfRule>
  </conditionalFormatting>
  <conditionalFormatting sqref="BG38:BK38">
    <cfRule type="cellIs" dxfId="248" priority="42" operator="equal">
      <formula>0</formula>
    </cfRule>
  </conditionalFormatting>
  <conditionalFormatting sqref="BH38">
    <cfRule type="cellIs" dxfId="247" priority="40" operator="greaterThan">
      <formula>$BH$39</formula>
    </cfRule>
  </conditionalFormatting>
  <conditionalFormatting sqref="BI38">
    <cfRule type="cellIs" dxfId="246" priority="39" operator="greaterThan">
      <formula>$BI$39</formula>
    </cfRule>
  </conditionalFormatting>
  <conditionalFormatting sqref="BJ38">
    <cfRule type="cellIs" dxfId="245" priority="37" operator="greaterThan">
      <formula>$BJ$39</formula>
    </cfRule>
  </conditionalFormatting>
  <conditionalFormatting sqref="BK38">
    <cfRule type="cellIs" dxfId="244" priority="38" operator="greaterThan">
      <formula>$BK$39</formula>
    </cfRule>
  </conditionalFormatting>
  <conditionalFormatting sqref="CI43:DB47">
    <cfRule type="cellIs" dxfId="243" priority="34" operator="equal">
      <formula>0</formula>
    </cfRule>
  </conditionalFormatting>
  <conditionalFormatting sqref="CI43:DB47">
    <cfRule type="cellIs" dxfId="242" priority="33" operator="greaterThan">
      <formula>$BF$27</formula>
    </cfRule>
  </conditionalFormatting>
  <conditionalFormatting sqref="DC33:DF33">
    <cfRule type="containsText" dxfId="241" priority="32" operator="containsText" text="S/T">
      <formula>NOT(ISERROR(SEARCH("S/T",DC33)))</formula>
    </cfRule>
  </conditionalFormatting>
  <conditionalFormatting sqref="DC42:DF42">
    <cfRule type="containsText" dxfId="240" priority="31" operator="containsText" text="S/T">
      <formula>NOT(ISERROR(SEARCH("S/T",DC42)))</formula>
    </cfRule>
  </conditionalFormatting>
  <conditionalFormatting sqref="C5:C6">
    <cfRule type="containsBlanks" dxfId="239" priority="30">
      <formula>LEN(TRIM(C5))=0</formula>
    </cfRule>
  </conditionalFormatting>
  <conditionalFormatting sqref="C5:C6">
    <cfRule type="duplicateValues" dxfId="238" priority="29"/>
  </conditionalFormatting>
  <conditionalFormatting sqref="H5:H25">
    <cfRule type="containsBlanks" dxfId="237" priority="28">
      <formula>LEN(TRIM(H5))=0</formula>
    </cfRule>
  </conditionalFormatting>
  <conditionalFormatting sqref="BF66:BY66">
    <cfRule type="containsText" dxfId="236" priority="27" operator="containsText" text="S/T">
      <formula>NOT(ISERROR(SEARCH("S/T",BF66)))</formula>
    </cfRule>
  </conditionalFormatting>
  <conditionalFormatting sqref="BF67:BY67">
    <cfRule type="cellIs" dxfId="235" priority="6" operator="equal">
      <formula>0</formula>
    </cfRule>
  </conditionalFormatting>
  <conditionalFormatting sqref="BF67:BY67">
    <cfRule type="cellIs" dxfId="234" priority="5" operator="greaterThan">
      <formula>$BF$27</formula>
    </cfRule>
  </conditionalFormatting>
  <conditionalFormatting sqref="BF68:BY68">
    <cfRule type="cellIs" dxfId="233" priority="4" operator="equal">
      <formula>0</formula>
    </cfRule>
  </conditionalFormatting>
  <conditionalFormatting sqref="BF68:BY68">
    <cfRule type="cellIs" dxfId="232" priority="3" operator="greaterThan">
      <formula>$BF$27</formula>
    </cfRule>
  </conditionalFormatting>
  <conditionalFormatting sqref="BF69:BY69">
    <cfRule type="cellIs" dxfId="231" priority="2" operator="equal">
      <formula>0</formula>
    </cfRule>
  </conditionalFormatting>
  <conditionalFormatting sqref="BF69:BY69">
    <cfRule type="cellIs" dxfId="230" priority="1" operator="greaterThan">
      <formula>$BF$27</formula>
    </cfRule>
  </conditionalFormatting>
  <dataValidations count="8">
    <dataValidation type="list" allowBlank="1" showInputMessage="1" showErrorMessage="1" sqref="C34:C39" xr:uid="{CB48F34F-5487-4EEC-A343-DA2F4D5C5317}">
      <formula1>"NÃO,SIM"</formula1>
    </dataValidation>
    <dataValidation type="list" allowBlank="1" showInputMessage="1" showErrorMessage="1" sqref="E39" xr:uid="{B2E0681E-EFF1-473E-BBA0-5D8B59CE8A5A}">
      <formula1>"Doutorado,Mestre,Licenciado,Sem Grau"</formula1>
    </dataValidation>
    <dataValidation allowBlank="1" showInputMessage="1" showErrorMessage="1" promptTitle="Institution" prompt="Institution to which you are associated in the scope of the research project" sqref="E2" xr:uid="{DC8D88A2-F50F-4B17-A07C-1A6699086C70}"/>
    <dataValidation allowBlank="1" showInputMessage="1" showErrorMessage="1" promptTitle="(months)" prompt="(months)" sqref="H2" xr:uid="{4DA99DF2-F803-47A0-A0EC-4ABE834F6433}"/>
    <dataValidation allowBlank="1" showInputMessage="1" showErrorMessage="1" promptTitle="Person*month" prompt="Person*month" sqref="I2" xr:uid="{39FF8110-5D06-46C2-9905-838BBDEAC72A}"/>
    <dataValidation allowBlank="1" showInputMessage="1" showErrorMessage="1" promptTitle="GRAU" prompt="Quadro Nacional de Qualificações - See Sheet 4.1" sqref="F33" xr:uid="{CFC8A430-3858-4D17-9B76-31115ADD076A}"/>
    <dataValidation allowBlank="1" showInputMessage="1" showErrorMessage="1" promptTitle="TRU" prompt="See values on Sheet 4.1" sqref="D33" xr:uid="{B2954663-9833-4B3D-BE9D-87EF3F130658}"/>
    <dataValidation allowBlank="1" showInputMessage="1" showErrorMessage="1" promptTitle="Start Month" prompt="The month of integration on the team  (e.g.: 1 = 1st month of the project)." sqref="G2 G33 G42" xr:uid="{6C31DA34-4C19-4D15-BC02-FDE139B8C8B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C8FD297F-8742-48A6-AEE8-43174EBF42B8}">
          <x14:formula1>
            <xm:f>'4.2'!$A$4:$A$7</xm:f>
          </x14:formula1>
          <xm:sqref>C43:C47</xm:sqref>
        </x14:dataValidation>
        <x14:dataValidation type="list" allowBlank="1" showInputMessage="1" showErrorMessage="1" xr:uid="{C6C84297-1E8C-49D6-B0FA-1C01BB001094}">
          <x14:formula1>
            <xm:f>'2.Inst.'!$A$32:$A$42</xm:f>
          </x14:formula1>
          <xm:sqref>E4:E18</xm:sqref>
        </x14:dataValidation>
        <x14:dataValidation type="list" allowBlank="1" showInputMessage="1" showErrorMessage="1" xr:uid="{EDE341A7-1707-4A75-8E21-58923F63CA92}">
          <x14:formula1>
            <xm:f>'4.1'!$B$17:$B$57</xm:f>
          </x14:formula1>
          <xm:sqref>D34:D39</xm:sqref>
        </x14:dataValidation>
        <x14:dataValidation type="list" allowBlank="1" showInputMessage="1" showErrorMessage="1" xr:uid="{C10E180C-00F5-4C1B-BA3A-9A9BBA9B5604}">
          <x14:formula1>
            <xm:f>'4.1'!$U$23:$U$25</xm:f>
          </x14:formula1>
          <xm:sqref>E34</xm:sqref>
        </x14:dataValidation>
        <x14:dataValidation type="list" allowBlank="1" showInputMessage="1" showErrorMessage="1" xr:uid="{6A747D24-7C49-4CB7-A3B5-59A24BB9EDA7}">
          <x14:formula1>
            <xm:f>'4.1'!$V$23:$V$25</xm:f>
          </x14:formula1>
          <xm:sqref>E35</xm:sqref>
        </x14:dataValidation>
        <x14:dataValidation type="list" allowBlank="1" showInputMessage="1" showErrorMessage="1" xr:uid="{CEB8ACED-A5C8-4849-B13D-8A528EE3FC6D}">
          <x14:formula1>
            <xm:f>'4.1'!$X$23:$X$25</xm:f>
          </x14:formula1>
          <xm:sqref>E37</xm:sqref>
        </x14:dataValidation>
        <x14:dataValidation type="list" allowBlank="1" showInputMessage="1" showErrorMessage="1" xr:uid="{A5844CEB-BA7F-4D3E-8090-F6FDCBD1EFFF}">
          <x14:formula1>
            <xm:f>'3.Tasks'!$B$4:$B$23</xm:f>
          </x14:formula1>
          <xm:sqref>H49:I55</xm:sqref>
        </x14:dataValidation>
        <x14:dataValidation type="list" allowBlank="1" showInputMessage="1" showErrorMessage="1" xr:uid="{807796F1-A4B7-40F7-A25D-DA2F7D791252}">
          <x14:formula1>
            <xm:f>'4.1'!$W$23:$W$25</xm:f>
          </x14:formula1>
          <xm:sqref>E36</xm:sqref>
        </x14:dataValidation>
        <x14:dataValidation type="list" allowBlank="1" showInputMessage="1" showErrorMessage="1" xr:uid="{624F6B73-0366-40D6-AB5C-EB575C6E5709}">
          <x14:formula1>
            <xm:f>'4.1'!$Y$23:$Y$25</xm:f>
          </x14:formula1>
          <xm:sqref>E38</xm:sqref>
        </x14:dataValidation>
        <x14:dataValidation type="whole" allowBlank="1" showInputMessage="1" showErrorMessage="1" xr:uid="{3BEC5B0B-27AB-47F3-AC18-165B781AEA21}">
          <x14:formula1>
            <xm:f>1</xm:f>
          </x14:formula1>
          <x14:formula2>
            <xm:f>'1.G.Data'!C$14-3</xm:f>
          </x14:formula2>
          <xm:sqref>G43:G47</xm:sqref>
        </x14:dataValidation>
        <x14:dataValidation type="whole" allowBlank="1" showInputMessage="1" showErrorMessage="1" xr:uid="{A351BBF9-7EBA-47FF-8EAF-FB580CA7BECE}">
          <x14:formula1>
            <xm:f>3</xm:f>
          </x14:formula1>
          <x14:formula2>
            <xm:f>'1.G.Data'!C$14-G43+1</xm:f>
          </x14:formula2>
          <xm:sqref>H43:H47</xm:sqref>
        </x14:dataValidation>
        <x14:dataValidation type="whole" allowBlank="1" showInputMessage="1" showErrorMessage="1" xr:uid="{F92B3D1A-A197-409D-904D-1CF169EF4441}">
          <x14:formula1>
            <xm:f>1</xm:f>
          </x14:formula1>
          <x14:formula2>
            <xm:f>'1.G.Data'!C$14+1-G4</xm:f>
          </x14:formula2>
          <xm:sqref>H4</xm:sqref>
        </x14:dataValidation>
        <x14:dataValidation type="whole" allowBlank="1" showInputMessage="1" showErrorMessage="1" xr:uid="{1F098AD9-5DDF-41BA-923B-665CBE5E4123}">
          <x14:formula1>
            <xm:f>1</xm:f>
          </x14:formula1>
          <x14:formula2>
            <xm:f>'1.G.Data'!C1048561</xm:f>
          </x14:formula2>
          <xm:sqref>G5:G26</xm:sqref>
        </x14:dataValidation>
        <x14:dataValidation type="whole" allowBlank="1" showInputMessage="1" showErrorMessage="1" xr:uid="{B0069852-829C-42C5-AD60-39A91CDAFA7D}">
          <x14:formula1>
            <xm:f>1</xm:f>
          </x14:formula1>
          <x14:formula2>
            <xm:f>'1.G.Data'!C$14</xm:f>
          </x14:formula2>
          <xm:sqref>G34:G38</xm:sqref>
        </x14:dataValidation>
        <x14:dataValidation type="whole" allowBlank="1" showInputMessage="1" showErrorMessage="1" xr:uid="{456B8343-0CB2-406F-BD35-60C6905ACA8C}">
          <x14:formula1>
            <xm:f>1</xm:f>
          </x14:formula1>
          <x14:formula2>
            <xm:f>'1.G.Data'!C$14-G5+1</xm:f>
          </x14:formula2>
          <xm:sqref>H34:H38 H5:H26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FCFF-7EDC-4A85-8928-933276D7D979}">
  <dimension ref="A1:BR63"/>
  <sheetViews>
    <sheetView zoomScale="90" zoomScaleNormal="90" workbookViewId="0">
      <pane xSplit="2" ySplit="4" topLeftCell="C5" activePane="bottomRight" state="frozen"/>
      <selection activeCell="F22" sqref="F22:J22"/>
      <selection pane="topRight" activeCell="F22" sqref="F22:J22"/>
      <selection pane="bottomLeft" activeCell="F22" sqref="F22:J22"/>
      <selection pane="bottomRight" activeCell="A16" sqref="A16"/>
    </sheetView>
  </sheetViews>
  <sheetFormatPr defaultColWidth="8.88671875" defaultRowHeight="15.05"/>
  <cols>
    <col min="1" max="1" width="7.44140625" customWidth="1"/>
    <col min="2" max="2" width="12.44140625" customWidth="1"/>
    <col min="3" max="3" width="8.88671875" customWidth="1"/>
    <col min="4" max="4" width="10.44140625" customWidth="1"/>
    <col min="5" max="5" width="16.44140625" customWidth="1"/>
    <col min="6" max="10" width="7.44140625" customWidth="1"/>
    <col min="11" max="11" width="9.88671875" customWidth="1"/>
    <col min="12" max="12" width="8.88671875" customWidth="1"/>
    <col min="13" max="13" width="7.44140625" customWidth="1"/>
    <col min="14" max="14" width="8.44140625" customWidth="1"/>
    <col min="15" max="16" width="7.44140625" customWidth="1"/>
    <col min="17" max="17" width="12.5546875" customWidth="1"/>
    <col min="18" max="18" width="20.33203125" customWidth="1"/>
    <col min="19" max="19" width="7.44140625" hidden="1" customWidth="1"/>
    <col min="20" max="41" width="8.44140625" hidden="1" customWidth="1"/>
    <col min="42" max="42" width="9.44140625" hidden="1" customWidth="1"/>
    <col min="43" max="61" width="8.44140625" hidden="1" customWidth="1"/>
    <col min="62" max="70" width="9.109375" hidden="1" customWidth="1"/>
    <col min="71" max="110" width="9.109375" customWidth="1"/>
  </cols>
  <sheetData>
    <row r="1" spans="1:70" hidden="1"/>
    <row r="2" spans="1:70" ht="15.75" hidden="1" thickBot="1">
      <c r="D2">
        <f ca="1">HLOOKUP(C3,$BM$11:$BR$12,2,FALSE)</f>
        <v>3</v>
      </c>
      <c r="M2">
        <f ca="1">HLOOKUP(L3,$BM$11:$BR$12,2,FALSE)</f>
        <v>4</v>
      </c>
      <c r="V2">
        <f ca="1">HLOOKUP(U3,$BM$11:$BR$12,2,FALSE)</f>
        <v>5</v>
      </c>
      <c r="AE2">
        <f ca="1">HLOOKUP(AD3,$BM$11:$BR$12,2,FALSE)</f>
        <v>6</v>
      </c>
    </row>
    <row r="3" spans="1:70" hidden="1">
      <c r="C3" s="738">
        <f ca="1">+'4.Team'!J41</f>
        <v>2026</v>
      </c>
      <c r="D3" s="739"/>
      <c r="E3" s="739"/>
      <c r="F3" s="739"/>
      <c r="G3" s="739"/>
      <c r="H3" s="739"/>
      <c r="I3" s="739"/>
      <c r="J3" s="739"/>
      <c r="K3" s="740"/>
      <c r="L3" s="738">
        <f ca="1">+C3+1</f>
        <v>2027</v>
      </c>
      <c r="M3" s="739"/>
      <c r="N3" s="739"/>
      <c r="O3" s="739"/>
      <c r="P3" s="739"/>
      <c r="Q3" s="739"/>
      <c r="R3" s="739"/>
      <c r="S3" s="739"/>
      <c r="T3" s="740"/>
      <c r="U3" s="738">
        <f ca="1">+L3+1</f>
        <v>2028</v>
      </c>
      <c r="V3" s="739"/>
      <c r="W3" s="739"/>
      <c r="X3" s="739"/>
      <c r="Y3" s="739"/>
      <c r="Z3" s="739"/>
      <c r="AA3" s="739"/>
      <c r="AB3" s="739"/>
      <c r="AC3" s="740"/>
      <c r="AD3" s="738">
        <f ca="1">+U3+1</f>
        <v>2029</v>
      </c>
      <c r="AE3" s="739"/>
      <c r="AF3" s="739"/>
      <c r="AG3" s="739"/>
      <c r="AH3" s="739"/>
      <c r="AI3" s="739"/>
      <c r="AJ3" s="739"/>
      <c r="AK3" s="739"/>
      <c r="AL3" s="740"/>
      <c r="AM3" s="741" t="s">
        <v>146</v>
      </c>
      <c r="AN3" s="741" t="s">
        <v>113</v>
      </c>
      <c r="AO3" s="745" t="s">
        <v>909</v>
      </c>
      <c r="AP3" s="743" t="s">
        <v>38</v>
      </c>
      <c r="AQ3" s="744"/>
      <c r="AR3" s="744"/>
      <c r="AS3" s="744"/>
      <c r="AT3" s="744"/>
      <c r="AU3" s="744"/>
      <c r="AV3" s="744"/>
      <c r="AW3" s="744"/>
      <c r="AX3" s="744"/>
      <c r="AY3" s="744"/>
      <c r="AZ3" s="744"/>
      <c r="BA3" s="744"/>
      <c r="BB3" s="744"/>
      <c r="BC3" s="744"/>
      <c r="BD3" s="744"/>
      <c r="BE3" s="744"/>
      <c r="BF3" s="744"/>
      <c r="BG3" s="744"/>
      <c r="BH3" s="744"/>
      <c r="BI3" s="744"/>
      <c r="BJ3" s="83"/>
    </row>
    <row r="4" spans="1:70" hidden="1">
      <c r="B4" t="s">
        <v>12</v>
      </c>
      <c r="C4" s="72" t="s">
        <v>110</v>
      </c>
      <c r="D4" s="73" t="s">
        <v>978</v>
      </c>
      <c r="E4" s="73" t="s">
        <v>977</v>
      </c>
      <c r="F4" s="73" t="s">
        <v>111</v>
      </c>
      <c r="G4" s="73" t="s">
        <v>112</v>
      </c>
      <c r="H4" s="73" t="s">
        <v>114</v>
      </c>
      <c r="I4" s="73" t="s">
        <v>115</v>
      </c>
      <c r="J4" s="73" t="s">
        <v>77</v>
      </c>
      <c r="K4" s="74" t="s">
        <v>116</v>
      </c>
      <c r="L4" s="72" t="s">
        <v>110</v>
      </c>
      <c r="M4" s="73" t="s">
        <v>978</v>
      </c>
      <c r="N4" s="73" t="s">
        <v>977</v>
      </c>
      <c r="O4" s="73" t="s">
        <v>111</v>
      </c>
      <c r="P4" s="73" t="s">
        <v>112</v>
      </c>
      <c r="Q4" s="73" t="s">
        <v>114</v>
      </c>
      <c r="R4" s="73" t="s">
        <v>115</v>
      </c>
      <c r="S4" s="73" t="s">
        <v>77</v>
      </c>
      <c r="T4" s="74" t="s">
        <v>116</v>
      </c>
      <c r="U4" s="72" t="s">
        <v>110</v>
      </c>
      <c r="V4" s="73" t="s">
        <v>978</v>
      </c>
      <c r="W4" s="73" t="s">
        <v>977</v>
      </c>
      <c r="X4" s="73" t="s">
        <v>111</v>
      </c>
      <c r="Y4" s="73" t="s">
        <v>112</v>
      </c>
      <c r="Z4" s="73" t="s">
        <v>114</v>
      </c>
      <c r="AA4" s="73" t="s">
        <v>115</v>
      </c>
      <c r="AB4" s="73" t="s">
        <v>77</v>
      </c>
      <c r="AC4" s="74" t="s">
        <v>116</v>
      </c>
      <c r="AD4" s="72" t="s">
        <v>110</v>
      </c>
      <c r="AE4" s="73" t="s">
        <v>978</v>
      </c>
      <c r="AF4" s="73" t="s">
        <v>977</v>
      </c>
      <c r="AG4" s="73" t="s">
        <v>111</v>
      </c>
      <c r="AH4" s="73" t="s">
        <v>112</v>
      </c>
      <c r="AI4" s="73" t="s">
        <v>114</v>
      </c>
      <c r="AJ4" s="73" t="s">
        <v>115</v>
      </c>
      <c r="AK4" s="73" t="s">
        <v>77</v>
      </c>
      <c r="AL4" s="74" t="s">
        <v>116</v>
      </c>
      <c r="AM4" s="742"/>
      <c r="AN4" s="742"/>
      <c r="AO4" s="746"/>
      <c r="AP4" s="12" t="s">
        <v>18</v>
      </c>
      <c r="AQ4" s="12" t="s">
        <v>19</v>
      </c>
      <c r="AR4" s="12" t="s">
        <v>20</v>
      </c>
      <c r="AS4" s="12" t="s">
        <v>21</v>
      </c>
      <c r="AT4" s="12" t="s">
        <v>22</v>
      </c>
      <c r="AU4" s="12" t="s">
        <v>23</v>
      </c>
      <c r="AV4" s="12" t="s">
        <v>24</v>
      </c>
      <c r="AW4" s="12" t="s">
        <v>25</v>
      </c>
      <c r="AX4" s="12" t="s">
        <v>26</v>
      </c>
      <c r="AY4" s="12" t="s">
        <v>27</v>
      </c>
      <c r="AZ4" s="12" t="s">
        <v>28</v>
      </c>
      <c r="BA4" s="12" t="s">
        <v>29</v>
      </c>
      <c r="BB4" s="12" t="s">
        <v>30</v>
      </c>
      <c r="BC4" s="12" t="s">
        <v>31</v>
      </c>
      <c r="BD4" s="12" t="s">
        <v>32</v>
      </c>
      <c r="BE4" s="12" t="s">
        <v>33</v>
      </c>
      <c r="BF4" s="12" t="s">
        <v>34</v>
      </c>
      <c r="BG4" s="12" t="s">
        <v>35</v>
      </c>
      <c r="BH4" s="12" t="s">
        <v>36</v>
      </c>
      <c r="BI4" s="12" t="s">
        <v>37</v>
      </c>
      <c r="BJ4" s="13" t="s">
        <v>109</v>
      </c>
      <c r="BK4">
        <f ca="1">+C3</f>
        <v>2026</v>
      </c>
      <c r="BL4">
        <f ca="1">+L3</f>
        <v>2027</v>
      </c>
      <c r="BM4">
        <f ca="1">+U3</f>
        <v>2028</v>
      </c>
      <c r="BN4">
        <f ca="1">+AD3</f>
        <v>2029</v>
      </c>
    </row>
    <row r="5" spans="1:70" hidden="1">
      <c r="A5" t="s">
        <v>64</v>
      </c>
      <c r="B5" s="11">
        <f>+'4.Team'!D34</f>
        <v>0</v>
      </c>
      <c r="C5" s="67" t="e">
        <f ca="1">SUM('4.Team'!J34:U34)</f>
        <v>#N/A</v>
      </c>
      <c r="D5" s="69">
        <f>IF(B5=0,0,VLOOKUP($B5,$BL$16:$BR$57,D$2,FALSE))</f>
        <v>0</v>
      </c>
      <c r="E5" s="69" t="e">
        <f ca="1">+C5*D5</f>
        <v>#N/A</v>
      </c>
      <c r="F5" s="69" t="e">
        <f ca="1">+C5/12*D5</f>
        <v>#N/A</v>
      </c>
      <c r="G5" s="97" t="e">
        <f ca="1">+C5/12*D5</f>
        <v>#N/A</v>
      </c>
      <c r="H5" s="69" t="e">
        <f ca="1">C5*11/12*$B$14</f>
        <v>#N/A</v>
      </c>
      <c r="I5" s="69" t="e">
        <f ca="1">(E5+F5+G5)*$B$13</f>
        <v>#N/A</v>
      </c>
      <c r="J5" s="69" t="e">
        <f ca="1">(E5+F5+G5)*$B$12</f>
        <v>#N/A</v>
      </c>
      <c r="K5" s="98" t="e">
        <f ca="1">SUM(E5:J5)</f>
        <v>#N/A</v>
      </c>
      <c r="L5" s="67" t="e">
        <f ca="1">SUM('4.Team'!V34:AG34)</f>
        <v>#N/A</v>
      </c>
      <c r="M5" s="69">
        <f>IF(B5=0,0,VLOOKUP($B5,$BL$16:$BR$57,M$2,FALSE))</f>
        <v>0</v>
      </c>
      <c r="N5" s="69" t="e">
        <f ca="1">+L5*M5</f>
        <v>#N/A</v>
      </c>
      <c r="O5" s="69" t="e">
        <f ca="1">+L5/12*M5</f>
        <v>#N/A</v>
      </c>
      <c r="P5" s="97" t="e">
        <f ca="1">+L5/12*M5</f>
        <v>#N/A</v>
      </c>
      <c r="Q5" s="69" t="e">
        <f ca="1">L5*11/12*$B$14*1.03</f>
        <v>#N/A</v>
      </c>
      <c r="R5" s="69" t="e">
        <f ca="1">(N5+O5+P5)*$B$13</f>
        <v>#N/A</v>
      </c>
      <c r="S5" s="69" t="e">
        <f ca="1">(N5+O5+P5)*$B$12</f>
        <v>#N/A</v>
      </c>
      <c r="T5" s="98" t="e">
        <f ca="1">SUM(N5:S5)</f>
        <v>#N/A</v>
      </c>
      <c r="U5" s="67" t="e">
        <f ca="1">SUM('4.Team'!AH34:AS34)</f>
        <v>#N/A</v>
      </c>
      <c r="V5" s="69">
        <f>IF(B5=0,0,VLOOKUP($B5,$BL$16:$BR$57,V$2,FALSE))</f>
        <v>0</v>
      </c>
      <c r="W5" s="69" t="e">
        <f ca="1">+U5*V5</f>
        <v>#N/A</v>
      </c>
      <c r="X5" s="69" t="e">
        <f ca="1">+U5/12*V5</f>
        <v>#N/A</v>
      </c>
      <c r="Y5" s="97" t="e">
        <f ca="1">+U5/12*V5</f>
        <v>#N/A</v>
      </c>
      <c r="Z5" s="69" t="e">
        <f ca="1">U5*11/12*$B$14*1.06</f>
        <v>#N/A</v>
      </c>
      <c r="AA5" s="69" t="e">
        <f ca="1">(W5+X5+Y5)*$B$13</f>
        <v>#N/A</v>
      </c>
      <c r="AB5" s="69" t="e">
        <f ca="1">(W5+X5+Y5)*$B$12</f>
        <v>#N/A</v>
      </c>
      <c r="AC5" s="98" t="e">
        <f ca="1">SUM(W5:AB5)</f>
        <v>#N/A</v>
      </c>
      <c r="AD5" s="67" t="e">
        <f ca="1">SUM('4.Team'!AT34:BE34)</f>
        <v>#N/A</v>
      </c>
      <c r="AE5" s="69">
        <f>IF(B5=0,0,VLOOKUP($B5,$BL$16:$BR$57,AE$2,FALSE))</f>
        <v>0</v>
      </c>
      <c r="AF5" s="69" t="e">
        <f ca="1">+AD5*AE5</f>
        <v>#N/A</v>
      </c>
      <c r="AG5" s="69" t="e">
        <f ca="1">+AD5/12*AE5</f>
        <v>#N/A</v>
      </c>
      <c r="AH5" s="97" t="e">
        <f ca="1">+AD5/12*AE5</f>
        <v>#N/A</v>
      </c>
      <c r="AI5" s="69" t="e">
        <f ca="1">AD5*11/12*$B$14*1.06</f>
        <v>#N/A</v>
      </c>
      <c r="AJ5" s="69" t="e">
        <f ca="1">(AF5+AG5+AH5)*$B$13</f>
        <v>#N/A</v>
      </c>
      <c r="AK5" s="69" t="e">
        <f ca="1">(AF5+AG5+AH5)*$B$12</f>
        <v>#N/A</v>
      </c>
      <c r="AL5" s="98" t="e">
        <f ca="1">SUM(AF5:AK5)</f>
        <v>#N/A</v>
      </c>
      <c r="AM5" s="103" t="e">
        <f ca="1">ROUNDUP((K5+T5+AC5+AL5),0)</f>
        <v>#N/A</v>
      </c>
      <c r="AN5" s="210" t="e">
        <f ca="1">(IF(AD5&gt;0,AE5,IF(U5&gt;0,V5,IF(L5&gt;0,M5,D5))))/30*(C5+L5+U5+AD5)*2</f>
        <v>#N/A</v>
      </c>
      <c r="AO5" s="103">
        <f>+'4.Team'!I34</f>
        <v>0</v>
      </c>
      <c r="AP5" s="447" t="e">
        <f ca="1">IF($AM5=0,0,('4.Team'!BF34*$AM5/$AO5))</f>
        <v>#N/A</v>
      </c>
      <c r="AQ5" s="447" t="e">
        <f ca="1">IF($AM5=0,0,('4.Team'!BG34*$AM5/$AO5))</f>
        <v>#N/A</v>
      </c>
      <c r="AR5" s="447" t="e">
        <f ca="1">IF($AM5=0,0,('4.Team'!BH34*$AM5/$AO5))</f>
        <v>#N/A</v>
      </c>
      <c r="AS5" s="447" t="e">
        <f ca="1">IF($AM5=0,0,('4.Team'!BI34*$AM5/$AO5))</f>
        <v>#N/A</v>
      </c>
      <c r="AT5" s="447" t="e">
        <f ca="1">IF($AM5=0,0,('4.Team'!BJ34*$AM5/$AO5))</f>
        <v>#N/A</v>
      </c>
      <c r="AU5" s="447" t="e">
        <f ca="1">IF($AM5=0,0,('4.Team'!BK34*$AM5/$AO5))</f>
        <v>#N/A</v>
      </c>
      <c r="AV5" s="447" t="e">
        <f ca="1">IF($AM5=0,0,('4.Team'!BL34*$AM5/$AO5))</f>
        <v>#N/A</v>
      </c>
      <c r="AW5" s="447" t="e">
        <f ca="1">IF($AM5=0,0,('4.Team'!BM34*$AM5/$AO5))</f>
        <v>#N/A</v>
      </c>
      <c r="AX5" s="447" t="e">
        <f ca="1">IF($AM5=0,0,('4.Team'!BN34*$AM5/$AO5))</f>
        <v>#N/A</v>
      </c>
      <c r="AY5" s="447" t="e">
        <f ca="1">IF($AM5=0,0,('4.Team'!BO34*$AM5/$AO5))</f>
        <v>#N/A</v>
      </c>
      <c r="AZ5" s="447" t="e">
        <f ca="1">IF($AM5=0,0,('4.Team'!BP34*$AM5/$AO5))</f>
        <v>#N/A</v>
      </c>
      <c r="BA5" s="447" t="e">
        <f ca="1">IF($AM5=0,0,('4.Team'!BQ34*$AM5/$AO5))</f>
        <v>#N/A</v>
      </c>
      <c r="BB5" s="447" t="e">
        <f ca="1">IF($AM5=0,0,('4.Team'!BR34*$AM5/$AO5))</f>
        <v>#N/A</v>
      </c>
      <c r="BC5" s="447" t="e">
        <f ca="1">IF($AM5=0,0,('4.Team'!BS34*$AM5/$AO5))</f>
        <v>#N/A</v>
      </c>
      <c r="BD5" s="447" t="e">
        <f ca="1">IF($AM5=0,0,('4.Team'!BT34*$AM5/$AO5))</f>
        <v>#N/A</v>
      </c>
      <c r="BE5" s="447" t="e">
        <f ca="1">IF($AM5=0,0,('4.Team'!BU34*$AM5/$AO5))</f>
        <v>#N/A</v>
      </c>
      <c r="BF5" s="447" t="e">
        <f ca="1">IF($AM5=0,0,('4.Team'!BV34*$AM5/$AO5))</f>
        <v>#N/A</v>
      </c>
      <c r="BG5" s="447" t="e">
        <f ca="1">IF($AM5=0,0,('4.Team'!BW34*$AM5/$AO5))</f>
        <v>#N/A</v>
      </c>
      <c r="BH5" s="447" t="e">
        <f ca="1">IF($AM5=0,0,('4.Team'!BX34*$AM5/$AO5))</f>
        <v>#N/A</v>
      </c>
      <c r="BI5" s="447" t="e">
        <f ca="1">IF($AM5=0,0,('4.Team'!BY34*$AM5/$AO5))</f>
        <v>#N/A</v>
      </c>
      <c r="BK5" s="446"/>
    </row>
    <row r="6" spans="1:70" hidden="1">
      <c r="A6" t="s">
        <v>65</v>
      </c>
      <c r="B6" s="11">
        <f>+'4.Team'!D35</f>
        <v>0</v>
      </c>
      <c r="C6" s="67" t="e">
        <f ca="1">SUM('4.Team'!J35:U35)</f>
        <v>#N/A</v>
      </c>
      <c r="D6" s="69">
        <f t="shared" ref="D6:D9" si="0">IF(B6=0,0,VLOOKUP($B6,$BL$16:$BR$57,D$2,FALSE))</f>
        <v>0</v>
      </c>
      <c r="E6" s="69" t="e">
        <f ca="1">+C6*D6</f>
        <v>#N/A</v>
      </c>
      <c r="F6" s="69" t="e">
        <f t="shared" ref="F6:F9" ca="1" si="1">+C6/12*D6</f>
        <v>#N/A</v>
      </c>
      <c r="G6" s="97" t="e">
        <f t="shared" ref="G6:G9" ca="1" si="2">+C6/12*D6</f>
        <v>#N/A</v>
      </c>
      <c r="H6" s="69" t="e">
        <f ca="1">C6*11/12*$B$14</f>
        <v>#N/A</v>
      </c>
      <c r="I6" s="69" t="e">
        <f t="shared" ref="I6:I9" ca="1" si="3">(E6+F6+G6)*$B$13</f>
        <v>#N/A</v>
      </c>
      <c r="J6" s="69" t="e">
        <f t="shared" ref="J6:J9" ca="1" si="4">(E6+F6+G6)*$B$12</f>
        <v>#N/A</v>
      </c>
      <c r="K6" s="98" t="e">
        <f ca="1">SUM(E6:J6)</f>
        <v>#N/A</v>
      </c>
      <c r="L6" s="67" t="e">
        <f ca="1">SUM('4.Team'!V35:AG35)</f>
        <v>#N/A</v>
      </c>
      <c r="M6" s="69">
        <f t="shared" ref="M6:M9" si="5">IF(B6=0,0,VLOOKUP($B6,$BL$16:$BR$57,M$2,FALSE))</f>
        <v>0</v>
      </c>
      <c r="N6" s="69" t="e">
        <f t="shared" ref="N6:N9" ca="1" si="6">+L6*M6</f>
        <v>#N/A</v>
      </c>
      <c r="O6" s="69" t="e">
        <f t="shared" ref="O6:O9" ca="1" si="7">+L6/12*M6</f>
        <v>#N/A</v>
      </c>
      <c r="P6" s="97" t="e">
        <f t="shared" ref="P6:P9" ca="1" si="8">+L6/12*M6</f>
        <v>#N/A</v>
      </c>
      <c r="Q6" s="69" t="e">
        <f ca="1">L6*11/12*$B$14*1.03</f>
        <v>#N/A</v>
      </c>
      <c r="R6" s="69" t="e">
        <f t="shared" ref="R6:R8" ca="1" si="9">(N6+O6+P6)*$B$13</f>
        <v>#N/A</v>
      </c>
      <c r="S6" s="69" t="e">
        <f t="shared" ref="S6:S8" ca="1" si="10">(N6+O6+P6)*$B$12</f>
        <v>#N/A</v>
      </c>
      <c r="T6" s="98" t="e">
        <f ca="1">SUM(N6:S6)</f>
        <v>#N/A</v>
      </c>
      <c r="U6" s="67" t="e">
        <f ca="1">SUM('4.Team'!AH35:AS35)</f>
        <v>#N/A</v>
      </c>
      <c r="V6" s="69">
        <f t="shared" ref="V6:V9" si="11">IF(B6=0,0,VLOOKUP($B6,$BL$16:$BR$57,V$2,FALSE))</f>
        <v>0</v>
      </c>
      <c r="W6" s="69" t="e">
        <f t="shared" ref="W6:W9" ca="1" si="12">+U6*V6</f>
        <v>#N/A</v>
      </c>
      <c r="X6" s="69" t="e">
        <f t="shared" ref="X6:X9" ca="1" si="13">+U6/12*V6</f>
        <v>#N/A</v>
      </c>
      <c r="Y6" s="97" t="e">
        <f t="shared" ref="Y6:Y9" ca="1" si="14">+U6/12*V6</f>
        <v>#N/A</v>
      </c>
      <c r="Z6" s="69" t="e">
        <f ca="1">U6*11/12*$B$14*1.06</f>
        <v>#N/A</v>
      </c>
      <c r="AA6" s="69" t="e">
        <f t="shared" ref="AA6:AA8" ca="1" si="15">(W6+X6+Y6)*$B$13</f>
        <v>#N/A</v>
      </c>
      <c r="AB6" s="69" t="e">
        <f t="shared" ref="AB6:AB8" ca="1" si="16">(W6+X6+Y6)*$B$12</f>
        <v>#N/A</v>
      </c>
      <c r="AC6" s="98" t="e">
        <f ca="1">SUM(W6:AB6)</f>
        <v>#N/A</v>
      </c>
      <c r="AD6" s="67" t="e">
        <f ca="1">SUM('4.Team'!AT35:BE35)</f>
        <v>#N/A</v>
      </c>
      <c r="AE6" s="69">
        <f t="shared" ref="AE6:AE9" si="17">IF(B6=0,0,VLOOKUP($B6,$BL$16:$BR$57,AE$2,FALSE))</f>
        <v>0</v>
      </c>
      <c r="AF6" s="69" t="e">
        <f t="shared" ref="AF6:AF9" ca="1" si="18">+AD6*AE6</f>
        <v>#N/A</v>
      </c>
      <c r="AG6" s="69" t="e">
        <f t="shared" ref="AG6:AG9" ca="1" si="19">+AD6/12*AE6</f>
        <v>#N/A</v>
      </c>
      <c r="AH6" s="97" t="e">
        <f t="shared" ref="AH6:AH9" ca="1" si="20">+AD6/12*AE6</f>
        <v>#N/A</v>
      </c>
      <c r="AI6" s="69" t="e">
        <f ca="1">AD6*11/12*$B$14*1.06</f>
        <v>#N/A</v>
      </c>
      <c r="AJ6" s="69" t="e">
        <f t="shared" ref="AJ6:AJ8" ca="1" si="21">(AF6+AG6+AH6)*$B$13</f>
        <v>#N/A</v>
      </c>
      <c r="AK6" s="69" t="e">
        <f t="shared" ref="AK6:AK8" ca="1" si="22">(AF6+AG6+AH6)*$B$12</f>
        <v>#N/A</v>
      </c>
      <c r="AL6" s="98" t="e">
        <f ca="1">SUM(AF6:AK6)</f>
        <v>#N/A</v>
      </c>
      <c r="AM6" s="103" t="e">
        <f t="shared" ref="AM6:AM9" ca="1" si="23">ROUNDUP((K6+T6+AC6+AL6),0)</f>
        <v>#N/A</v>
      </c>
      <c r="AN6" s="210" t="e">
        <f t="shared" ref="AN6:AN9" ca="1" si="24">(IF(AD6&gt;0,AE6,IF(U6&gt;0,V6,IF(L6&gt;0,M6,D6))))/30*(C6+L6+U6+AD6)*2</f>
        <v>#N/A</v>
      </c>
      <c r="AO6" s="103">
        <f>+'4.Team'!I35</f>
        <v>0</v>
      </c>
      <c r="AP6" s="447" t="e">
        <f ca="1">IF($AM6=0,0,('4.Team'!BF35*$AM6/$AO6))</f>
        <v>#N/A</v>
      </c>
      <c r="AQ6" s="447" t="e">
        <f ca="1">IF($AM6=0,0,('4.Team'!BG35*$AM6/$AO6))</f>
        <v>#N/A</v>
      </c>
      <c r="AR6" s="447" t="e">
        <f ca="1">IF($AM6=0,0,('4.Team'!BH35*$AM6/$AO6))</f>
        <v>#N/A</v>
      </c>
      <c r="AS6" s="447" t="e">
        <f ca="1">IF($AM6=0,0,('4.Team'!BI35*$AM6/$AO6))</f>
        <v>#N/A</v>
      </c>
      <c r="AT6" s="447" t="e">
        <f ca="1">IF($AM6=0,0,('4.Team'!BJ35*$AM6/$AO6))</f>
        <v>#N/A</v>
      </c>
      <c r="AU6" s="447" t="e">
        <f ca="1">IF($AM6=0,0,('4.Team'!BK35*$AM6/$AO6))</f>
        <v>#N/A</v>
      </c>
      <c r="AV6" s="447" t="e">
        <f ca="1">IF($AM6=0,0,('4.Team'!BL35*$AM6/$AO6))</f>
        <v>#N/A</v>
      </c>
      <c r="AW6" s="447" t="e">
        <f ca="1">IF($AM6=0,0,('4.Team'!BM35*$AM6/$AO6))</f>
        <v>#N/A</v>
      </c>
      <c r="AX6" s="447" t="e">
        <f ca="1">IF($AM6=0,0,('4.Team'!BN35*$AM6/$AO6))</f>
        <v>#N/A</v>
      </c>
      <c r="AY6" s="447" t="e">
        <f ca="1">IF($AM6=0,0,('4.Team'!BO35*$AM6/$AO6))</f>
        <v>#N/A</v>
      </c>
      <c r="AZ6" s="447" t="e">
        <f ca="1">IF($AM6=0,0,('4.Team'!BP35*$AM6/$AO6))</f>
        <v>#N/A</v>
      </c>
      <c r="BA6" s="447" t="e">
        <f ca="1">IF($AM6=0,0,('4.Team'!BQ35*$AM6/$AO6))</f>
        <v>#N/A</v>
      </c>
      <c r="BB6" s="447" t="e">
        <f ca="1">IF($AM6=0,0,('4.Team'!BR35*$AM6/$AO6))</f>
        <v>#N/A</v>
      </c>
      <c r="BC6" s="447" t="e">
        <f ca="1">IF($AM6=0,0,('4.Team'!BS35*$AM6/$AO6))</f>
        <v>#N/A</v>
      </c>
      <c r="BD6" s="447" t="e">
        <f ca="1">IF($AM6=0,0,('4.Team'!BT35*$AM6/$AO6))</f>
        <v>#N/A</v>
      </c>
      <c r="BE6" s="447" t="e">
        <f ca="1">IF($AM6=0,0,('4.Team'!BU35*$AM6/$AO6))</f>
        <v>#N/A</v>
      </c>
      <c r="BF6" s="447" t="e">
        <f ca="1">IF($AM6=0,0,('4.Team'!BV35*$AM6/$AO6))</f>
        <v>#N/A</v>
      </c>
      <c r="BG6" s="447" t="e">
        <f ca="1">IF($AM6=0,0,('4.Team'!BW35*$AM6/$AO6))</f>
        <v>#N/A</v>
      </c>
      <c r="BH6" s="447" t="e">
        <f ca="1">IF($AM6=0,0,('4.Team'!BX35*$AM6/$AO6))</f>
        <v>#N/A</v>
      </c>
      <c r="BI6" s="447" t="e">
        <f ca="1">IF($AM6=0,0,('4.Team'!BY35*$AM6/$AO6))</f>
        <v>#N/A</v>
      </c>
    </row>
    <row r="7" spans="1:70" hidden="1">
      <c r="A7" t="s">
        <v>66</v>
      </c>
      <c r="B7" s="11">
        <f>+'4.Team'!D36</f>
        <v>0</v>
      </c>
      <c r="C7" s="67" t="e">
        <f ca="1">SUM('4.Team'!J36:U36)</f>
        <v>#N/A</v>
      </c>
      <c r="D7" s="69">
        <f t="shared" si="0"/>
        <v>0</v>
      </c>
      <c r="E7" s="69" t="e">
        <f t="shared" ref="E7:E9" ca="1" si="25">+C7*D7</f>
        <v>#N/A</v>
      </c>
      <c r="F7" s="69" t="e">
        <f t="shared" ca="1" si="1"/>
        <v>#N/A</v>
      </c>
      <c r="G7" s="97" t="e">
        <f t="shared" ca="1" si="2"/>
        <v>#N/A</v>
      </c>
      <c r="H7" s="69" t="e">
        <f ca="1">C7*11/12*$B$14</f>
        <v>#N/A</v>
      </c>
      <c r="I7" s="69" t="e">
        <f t="shared" ca="1" si="3"/>
        <v>#N/A</v>
      </c>
      <c r="J7" s="69" t="e">
        <f t="shared" ca="1" si="4"/>
        <v>#N/A</v>
      </c>
      <c r="K7" s="98" t="e">
        <f ca="1">SUM(E7:J7)</f>
        <v>#N/A</v>
      </c>
      <c r="L7" s="67" t="e">
        <f ca="1">SUM('4.Team'!V36:AG36)</f>
        <v>#N/A</v>
      </c>
      <c r="M7" s="69">
        <f t="shared" si="5"/>
        <v>0</v>
      </c>
      <c r="N7" s="69" t="e">
        <f t="shared" ca="1" si="6"/>
        <v>#N/A</v>
      </c>
      <c r="O7" s="69" t="e">
        <f t="shared" ca="1" si="7"/>
        <v>#N/A</v>
      </c>
      <c r="P7" s="97" t="e">
        <f t="shared" ca="1" si="8"/>
        <v>#N/A</v>
      </c>
      <c r="Q7" s="69" t="e">
        <f ca="1">L7*11/12*$B$14*1.03</f>
        <v>#N/A</v>
      </c>
      <c r="R7" s="69" t="e">
        <f t="shared" ca="1" si="9"/>
        <v>#N/A</v>
      </c>
      <c r="S7" s="69" t="e">
        <f t="shared" ca="1" si="10"/>
        <v>#N/A</v>
      </c>
      <c r="T7" s="98" t="e">
        <f ca="1">SUM(N7:S7)</f>
        <v>#N/A</v>
      </c>
      <c r="U7" s="67" t="e">
        <f ca="1">SUM('4.Team'!AH36:AS36)</f>
        <v>#N/A</v>
      </c>
      <c r="V7" s="69">
        <f t="shared" si="11"/>
        <v>0</v>
      </c>
      <c r="W7" s="69" t="e">
        <f t="shared" ca="1" si="12"/>
        <v>#N/A</v>
      </c>
      <c r="X7" s="69" t="e">
        <f t="shared" ca="1" si="13"/>
        <v>#N/A</v>
      </c>
      <c r="Y7" s="97" t="e">
        <f t="shared" ca="1" si="14"/>
        <v>#N/A</v>
      </c>
      <c r="Z7" s="69" t="e">
        <f ca="1">U7*11/12*$B$14*1.06</f>
        <v>#N/A</v>
      </c>
      <c r="AA7" s="69" t="e">
        <f t="shared" ca="1" si="15"/>
        <v>#N/A</v>
      </c>
      <c r="AB7" s="69" t="e">
        <f t="shared" ca="1" si="16"/>
        <v>#N/A</v>
      </c>
      <c r="AC7" s="98" t="e">
        <f ca="1">SUM(W7:AB7)</f>
        <v>#N/A</v>
      </c>
      <c r="AD7" s="67" t="e">
        <f ca="1">SUM('4.Team'!AT36:BE36)</f>
        <v>#N/A</v>
      </c>
      <c r="AE7" s="69">
        <f t="shared" si="17"/>
        <v>0</v>
      </c>
      <c r="AF7" s="69" t="e">
        <f t="shared" ca="1" si="18"/>
        <v>#N/A</v>
      </c>
      <c r="AG7" s="69" t="e">
        <f t="shared" ca="1" si="19"/>
        <v>#N/A</v>
      </c>
      <c r="AH7" s="97" t="e">
        <f t="shared" ca="1" si="20"/>
        <v>#N/A</v>
      </c>
      <c r="AI7" s="69" t="e">
        <f ca="1">AD7*11/12*$B$14*1.06</f>
        <v>#N/A</v>
      </c>
      <c r="AJ7" s="69" t="e">
        <f t="shared" ca="1" si="21"/>
        <v>#N/A</v>
      </c>
      <c r="AK7" s="69" t="e">
        <f t="shared" ca="1" si="22"/>
        <v>#N/A</v>
      </c>
      <c r="AL7" s="98" t="e">
        <f ca="1">SUM(AF7:AK7)</f>
        <v>#N/A</v>
      </c>
      <c r="AM7" s="103" t="e">
        <f t="shared" ca="1" si="23"/>
        <v>#N/A</v>
      </c>
      <c r="AN7" s="210" t="e">
        <f t="shared" ca="1" si="24"/>
        <v>#N/A</v>
      </c>
      <c r="AO7" s="103">
        <f>+'4.Team'!I36</f>
        <v>0</v>
      </c>
      <c r="AP7" s="447" t="e">
        <f ca="1">IF($AM7=0,0,('4.Team'!BF36*$AM7/$AO7))</f>
        <v>#N/A</v>
      </c>
      <c r="AQ7" s="447" t="e">
        <f ca="1">IF($AM7=0,0,('4.Team'!BG36*$AM7/$AO7))</f>
        <v>#N/A</v>
      </c>
      <c r="AR7" s="447" t="e">
        <f ca="1">IF($AM7=0,0,('4.Team'!BH36*$AM7/$AO7))</f>
        <v>#N/A</v>
      </c>
      <c r="AS7" s="447" t="e">
        <f ca="1">IF($AM7=0,0,('4.Team'!BI36*$AM7/$AO7))</f>
        <v>#N/A</v>
      </c>
      <c r="AT7" s="447" t="e">
        <f ca="1">IF($AM7=0,0,('4.Team'!BJ36*$AM7/$AO7))</f>
        <v>#N/A</v>
      </c>
      <c r="AU7" s="447" t="e">
        <f ca="1">IF($AM7=0,0,('4.Team'!BK36*$AM7/$AO7))</f>
        <v>#N/A</v>
      </c>
      <c r="AV7" s="447" t="e">
        <f ca="1">IF($AM7=0,0,('4.Team'!BL36*$AM7/$AO7))</f>
        <v>#N/A</v>
      </c>
      <c r="AW7" s="447" t="e">
        <f ca="1">IF($AM7=0,0,('4.Team'!BM36*$AM7/$AO7))</f>
        <v>#N/A</v>
      </c>
      <c r="AX7" s="447" t="e">
        <f ca="1">IF($AM7=0,0,('4.Team'!BN36*$AM7/$AO7))</f>
        <v>#N/A</v>
      </c>
      <c r="AY7" s="447" t="e">
        <f ca="1">IF($AM7=0,0,('4.Team'!BO36*$AM7/$AO7))</f>
        <v>#N/A</v>
      </c>
      <c r="AZ7" s="447" t="e">
        <f ca="1">IF($AM7=0,0,('4.Team'!BP36*$AM7/$AO7))</f>
        <v>#N/A</v>
      </c>
      <c r="BA7" s="447" t="e">
        <f ca="1">IF($AM7=0,0,('4.Team'!BQ36*$AM7/$AO7))</f>
        <v>#N/A</v>
      </c>
      <c r="BB7" s="447" t="e">
        <f ca="1">IF($AM7=0,0,('4.Team'!BR36*$AM7/$AO7))</f>
        <v>#N/A</v>
      </c>
      <c r="BC7" s="447" t="e">
        <f ca="1">IF($AM7=0,0,('4.Team'!BS36*$AM7/$AO7))</f>
        <v>#N/A</v>
      </c>
      <c r="BD7" s="447" t="e">
        <f ca="1">IF($AM7=0,0,('4.Team'!BT36*$AM7/$AO7))</f>
        <v>#N/A</v>
      </c>
      <c r="BE7" s="447" t="e">
        <f ca="1">IF($AM7=0,0,('4.Team'!BU36*$AM7/$AO7))</f>
        <v>#N/A</v>
      </c>
      <c r="BF7" s="447" t="e">
        <f ca="1">IF($AM7=0,0,('4.Team'!BV36*$AM7/$AO7))</f>
        <v>#N/A</v>
      </c>
      <c r="BG7" s="447" t="e">
        <f ca="1">IF($AM7=0,0,('4.Team'!BW36*$AM7/$AO7))</f>
        <v>#N/A</v>
      </c>
      <c r="BH7" s="447" t="e">
        <f ca="1">IF($AM7=0,0,('4.Team'!BX36*$AM7/$AO7))</f>
        <v>#N/A</v>
      </c>
      <c r="BI7" s="447" t="e">
        <f ca="1">IF($AM7=0,0,('4.Team'!BY36*$AM7/$AO7))</f>
        <v>#N/A</v>
      </c>
    </row>
    <row r="8" spans="1:70" hidden="1">
      <c r="A8" t="s">
        <v>67</v>
      </c>
      <c r="B8" s="11">
        <f>+'4.Team'!D37</f>
        <v>0</v>
      </c>
      <c r="C8" s="67" t="e">
        <f ca="1">SUM('4.Team'!J37:U37)</f>
        <v>#N/A</v>
      </c>
      <c r="D8" s="69">
        <f t="shared" si="0"/>
        <v>0</v>
      </c>
      <c r="E8" s="69" t="e">
        <f t="shared" ca="1" si="25"/>
        <v>#N/A</v>
      </c>
      <c r="F8" s="69" t="e">
        <f t="shared" ca="1" si="1"/>
        <v>#N/A</v>
      </c>
      <c r="G8" s="97" t="e">
        <f t="shared" ca="1" si="2"/>
        <v>#N/A</v>
      </c>
      <c r="H8" s="69" t="e">
        <f ca="1">C8*11/12*$B$14</f>
        <v>#N/A</v>
      </c>
      <c r="I8" s="69" t="e">
        <f t="shared" ca="1" si="3"/>
        <v>#N/A</v>
      </c>
      <c r="J8" s="69" t="e">
        <f t="shared" ca="1" si="4"/>
        <v>#N/A</v>
      </c>
      <c r="K8" s="98" t="e">
        <f ca="1">SUM(E8:J8)</f>
        <v>#N/A</v>
      </c>
      <c r="L8" s="67" t="e">
        <f ca="1">SUM('4.Team'!V37:AG37)</f>
        <v>#N/A</v>
      </c>
      <c r="M8" s="69">
        <f t="shared" si="5"/>
        <v>0</v>
      </c>
      <c r="N8" s="69" t="e">
        <f t="shared" ca="1" si="6"/>
        <v>#N/A</v>
      </c>
      <c r="O8" s="69" t="e">
        <f t="shared" ca="1" si="7"/>
        <v>#N/A</v>
      </c>
      <c r="P8" s="97" t="e">
        <f t="shared" ca="1" si="8"/>
        <v>#N/A</v>
      </c>
      <c r="Q8" s="69" t="e">
        <f ca="1">L8*11/12*$B$14*1.03</f>
        <v>#N/A</v>
      </c>
      <c r="R8" s="69" t="e">
        <f t="shared" ca="1" si="9"/>
        <v>#N/A</v>
      </c>
      <c r="S8" s="69" t="e">
        <f t="shared" ca="1" si="10"/>
        <v>#N/A</v>
      </c>
      <c r="T8" s="98" t="e">
        <f ca="1">SUM(N8:S8)</f>
        <v>#N/A</v>
      </c>
      <c r="U8" s="67" t="e">
        <f ca="1">SUM('4.Team'!AH37:AS37)</f>
        <v>#N/A</v>
      </c>
      <c r="V8" s="69">
        <f t="shared" si="11"/>
        <v>0</v>
      </c>
      <c r="W8" s="69" t="e">
        <f t="shared" ca="1" si="12"/>
        <v>#N/A</v>
      </c>
      <c r="X8" s="69" t="e">
        <f t="shared" ca="1" si="13"/>
        <v>#N/A</v>
      </c>
      <c r="Y8" s="97" t="e">
        <f t="shared" ca="1" si="14"/>
        <v>#N/A</v>
      </c>
      <c r="Z8" s="69" t="e">
        <f ca="1">U8*11/12*$B$14*1.06</f>
        <v>#N/A</v>
      </c>
      <c r="AA8" s="69" t="e">
        <f t="shared" ca="1" si="15"/>
        <v>#N/A</v>
      </c>
      <c r="AB8" s="69" t="e">
        <f t="shared" ca="1" si="16"/>
        <v>#N/A</v>
      </c>
      <c r="AC8" s="98" t="e">
        <f ca="1">SUM(W8:AB8)</f>
        <v>#N/A</v>
      </c>
      <c r="AD8" s="67" t="e">
        <f ca="1">SUM('4.Team'!AT37:BE37)</f>
        <v>#N/A</v>
      </c>
      <c r="AE8" s="69">
        <f t="shared" si="17"/>
        <v>0</v>
      </c>
      <c r="AF8" s="69" t="e">
        <f t="shared" ca="1" si="18"/>
        <v>#N/A</v>
      </c>
      <c r="AG8" s="69" t="e">
        <f t="shared" ca="1" si="19"/>
        <v>#N/A</v>
      </c>
      <c r="AH8" s="97" t="e">
        <f t="shared" ca="1" si="20"/>
        <v>#N/A</v>
      </c>
      <c r="AI8" s="69" t="e">
        <f ca="1">AD8*11/12*$B$14*1.06</f>
        <v>#N/A</v>
      </c>
      <c r="AJ8" s="69" t="e">
        <f t="shared" ca="1" si="21"/>
        <v>#N/A</v>
      </c>
      <c r="AK8" s="69" t="e">
        <f t="shared" ca="1" si="22"/>
        <v>#N/A</v>
      </c>
      <c r="AL8" s="98" t="e">
        <f ca="1">SUM(AF8:AK8)</f>
        <v>#N/A</v>
      </c>
      <c r="AM8" s="103" t="e">
        <f t="shared" ca="1" si="23"/>
        <v>#N/A</v>
      </c>
      <c r="AN8" s="210" t="e">
        <f t="shared" ca="1" si="24"/>
        <v>#N/A</v>
      </c>
      <c r="AO8" s="103">
        <f>+'4.Team'!I37</f>
        <v>0</v>
      </c>
      <c r="AP8" s="447" t="e">
        <f ca="1">IF($AM8=0,0,('4.Team'!BF37*$AM8/$AO8))</f>
        <v>#N/A</v>
      </c>
      <c r="AQ8" s="447" t="e">
        <f ca="1">IF($AM8=0,0,('4.Team'!BG37*$AM8/$AO8))</f>
        <v>#N/A</v>
      </c>
      <c r="AR8" s="447" t="e">
        <f ca="1">IF($AM8=0,0,('4.Team'!BH37*$AM8/$AO8))</f>
        <v>#N/A</v>
      </c>
      <c r="AS8" s="447" t="e">
        <f ca="1">IF($AM8=0,0,('4.Team'!BI37*$AM8/$AO8))</f>
        <v>#N/A</v>
      </c>
      <c r="AT8" s="447" t="e">
        <f ca="1">IF($AM8=0,0,('4.Team'!BJ37*$AM8/$AO8))</f>
        <v>#N/A</v>
      </c>
      <c r="AU8" s="447" t="e">
        <f ca="1">IF($AM8=0,0,('4.Team'!BK37*$AM8/$AO8))</f>
        <v>#N/A</v>
      </c>
      <c r="AV8" s="447" t="e">
        <f ca="1">IF($AM8=0,0,('4.Team'!BL37*$AM8/$AO8))</f>
        <v>#N/A</v>
      </c>
      <c r="AW8" s="447" t="e">
        <f ca="1">IF($AM8=0,0,('4.Team'!BM37*$AM8/$AO8))</f>
        <v>#N/A</v>
      </c>
      <c r="AX8" s="447" t="e">
        <f ca="1">IF($AM8=0,0,('4.Team'!BN37*$AM8/$AO8))</f>
        <v>#N/A</v>
      </c>
      <c r="AY8" s="447" t="e">
        <f ca="1">IF($AM8=0,0,('4.Team'!BO37*$AM8/$AO8))</f>
        <v>#N/A</v>
      </c>
      <c r="AZ8" s="447" t="e">
        <f ca="1">IF($AM8=0,0,('4.Team'!BP37*$AM8/$AO8))</f>
        <v>#N/A</v>
      </c>
      <c r="BA8" s="447" t="e">
        <f ca="1">IF($AM8=0,0,('4.Team'!BQ37*$AM8/$AO8))</f>
        <v>#N/A</v>
      </c>
      <c r="BB8" s="447" t="e">
        <f ca="1">IF($AM8=0,0,('4.Team'!BR37*$AM8/$AO8))</f>
        <v>#N/A</v>
      </c>
      <c r="BC8" s="447" t="e">
        <f ca="1">IF($AM8=0,0,('4.Team'!BS37*$AM8/$AO8))</f>
        <v>#N/A</v>
      </c>
      <c r="BD8" s="447" t="e">
        <f ca="1">IF($AM8=0,0,('4.Team'!BT37*$AM8/$AO8))</f>
        <v>#N/A</v>
      </c>
      <c r="BE8" s="447" t="e">
        <f ca="1">IF($AM8=0,0,('4.Team'!BU37*$AM8/$AO8))</f>
        <v>#N/A</v>
      </c>
      <c r="BF8" s="447" t="e">
        <f ca="1">IF($AM8=0,0,('4.Team'!BV37*$AM8/$AO8))</f>
        <v>#N/A</v>
      </c>
      <c r="BG8" s="447" t="e">
        <f ca="1">IF($AM8=0,0,('4.Team'!BW37*$AM8/$AO8))</f>
        <v>#N/A</v>
      </c>
      <c r="BH8" s="447" t="e">
        <f ca="1">IF($AM8=0,0,('4.Team'!BX37*$AM8/$AO8))</f>
        <v>#N/A</v>
      </c>
      <c r="BI8" s="447" t="e">
        <f ca="1">IF($AM8=0,0,('4.Team'!BY37*$AM8/$AO8))</f>
        <v>#N/A</v>
      </c>
    </row>
    <row r="9" spans="1:70" ht="15.75" hidden="1" thickBot="1">
      <c r="A9" t="s">
        <v>68</v>
      </c>
      <c r="B9" s="11">
        <f>+'4.Team'!D38</f>
        <v>0</v>
      </c>
      <c r="C9" s="68" t="e">
        <f ca="1">SUM('4.Team'!J38:U38)</f>
        <v>#N/A</v>
      </c>
      <c r="D9" s="69">
        <f t="shared" si="0"/>
        <v>0</v>
      </c>
      <c r="E9" s="71" t="e">
        <f t="shared" ca="1" si="25"/>
        <v>#N/A</v>
      </c>
      <c r="F9" s="71" t="e">
        <f t="shared" ca="1" si="1"/>
        <v>#N/A</v>
      </c>
      <c r="G9" s="99" t="e">
        <f t="shared" ca="1" si="2"/>
        <v>#N/A</v>
      </c>
      <c r="H9" s="71" t="e">
        <f ca="1">C9*11/12*$B$14</f>
        <v>#N/A</v>
      </c>
      <c r="I9" s="71" t="e">
        <f t="shared" ca="1" si="3"/>
        <v>#N/A</v>
      </c>
      <c r="J9" s="71" t="e">
        <f t="shared" ca="1" si="4"/>
        <v>#N/A</v>
      </c>
      <c r="K9" s="71" t="e">
        <f ca="1">SUM(E9:J9)</f>
        <v>#N/A</v>
      </c>
      <c r="L9" s="68" t="e">
        <f ca="1">SUM('4.Team'!V38:AG38)</f>
        <v>#N/A</v>
      </c>
      <c r="M9" s="69">
        <f t="shared" si="5"/>
        <v>0</v>
      </c>
      <c r="N9" s="71" t="e">
        <f t="shared" ca="1" si="6"/>
        <v>#N/A</v>
      </c>
      <c r="O9" s="71" t="e">
        <f t="shared" ca="1" si="7"/>
        <v>#N/A</v>
      </c>
      <c r="P9" s="99" t="e">
        <f t="shared" ca="1" si="8"/>
        <v>#N/A</v>
      </c>
      <c r="Q9" s="71" t="e">
        <f ca="1">L9*11/12*$B$14*1.03</f>
        <v>#N/A</v>
      </c>
      <c r="R9" s="71" t="e">
        <f ca="1">(N9+O9+P9)*$B$13</f>
        <v>#N/A</v>
      </c>
      <c r="S9" s="71" t="e">
        <f ca="1">(N9+O9+P9)*$B$12</f>
        <v>#N/A</v>
      </c>
      <c r="T9" s="71" t="e">
        <f ca="1">SUM(N9:S9)</f>
        <v>#N/A</v>
      </c>
      <c r="U9" s="68" t="e">
        <f ca="1">SUM('4.Team'!AH38:AS38)</f>
        <v>#N/A</v>
      </c>
      <c r="V9" s="69">
        <f t="shared" si="11"/>
        <v>0</v>
      </c>
      <c r="W9" s="71" t="e">
        <f t="shared" ca="1" si="12"/>
        <v>#N/A</v>
      </c>
      <c r="X9" s="71" t="e">
        <f t="shared" ca="1" si="13"/>
        <v>#N/A</v>
      </c>
      <c r="Y9" s="99" t="e">
        <f t="shared" ca="1" si="14"/>
        <v>#N/A</v>
      </c>
      <c r="Z9" s="71" t="e">
        <f ca="1">U9*11/12*$B$14*1.06</f>
        <v>#N/A</v>
      </c>
      <c r="AA9" s="71" t="e">
        <f ca="1">(W9+X9+Y9)*$B$13</f>
        <v>#N/A</v>
      </c>
      <c r="AB9" s="71" t="e">
        <f ca="1">(W9+X9+Y9)*$B$12</f>
        <v>#N/A</v>
      </c>
      <c r="AC9" s="100" t="e">
        <f ca="1">SUM(W9:AB9)</f>
        <v>#N/A</v>
      </c>
      <c r="AD9" s="68" t="e">
        <f ca="1">SUM('4.Team'!AT38:BE38)</f>
        <v>#N/A</v>
      </c>
      <c r="AE9" s="69">
        <f t="shared" si="17"/>
        <v>0</v>
      </c>
      <c r="AF9" s="71" t="e">
        <f t="shared" ca="1" si="18"/>
        <v>#N/A</v>
      </c>
      <c r="AG9" s="71" t="e">
        <f t="shared" ca="1" si="19"/>
        <v>#N/A</v>
      </c>
      <c r="AH9" s="99" t="e">
        <f t="shared" ca="1" si="20"/>
        <v>#N/A</v>
      </c>
      <c r="AI9" s="71" t="e">
        <f ca="1">AD9*11/12*$B$14*1.06</f>
        <v>#N/A</v>
      </c>
      <c r="AJ9" s="71" t="e">
        <f ca="1">(AF9+AG9+AH9)*$B$13</f>
        <v>#N/A</v>
      </c>
      <c r="AK9" s="71" t="e">
        <f ca="1">(AF9+AG9+AH9)*$B$12</f>
        <v>#N/A</v>
      </c>
      <c r="AL9" s="100" t="e">
        <f ca="1">SUM(AF9:AK9)</f>
        <v>#N/A</v>
      </c>
      <c r="AM9" s="103" t="e">
        <f t="shared" ca="1" si="23"/>
        <v>#N/A</v>
      </c>
      <c r="AN9" s="210" t="e">
        <f t="shared" ca="1" si="24"/>
        <v>#N/A</v>
      </c>
      <c r="AO9" s="103">
        <f>+'4.Team'!I38</f>
        <v>0</v>
      </c>
      <c r="AP9" s="447" t="e">
        <f ca="1">IF($AM9=0,0,('4.Team'!BF38*$AM9/$AO9))</f>
        <v>#N/A</v>
      </c>
      <c r="AQ9" s="447" t="e">
        <f ca="1">IF($AM9=0,0,('4.Team'!BG38*$AM9/$AO9))</f>
        <v>#N/A</v>
      </c>
      <c r="AR9" s="447" t="e">
        <f ca="1">IF($AM9=0,0,('4.Team'!BH38*$AM9/$AO9))</f>
        <v>#N/A</v>
      </c>
      <c r="AS9" s="447" t="e">
        <f ca="1">IF($AM9=0,0,('4.Team'!BI38*$AM9/$AO9))</f>
        <v>#N/A</v>
      </c>
      <c r="AT9" s="447" t="e">
        <f ca="1">IF($AM9=0,0,('4.Team'!BJ38*$AM9/$AO9))</f>
        <v>#N/A</v>
      </c>
      <c r="AU9" s="447" t="e">
        <f ca="1">IF($AM9=0,0,('4.Team'!BK38*$AM9/$AO9))</f>
        <v>#N/A</v>
      </c>
      <c r="AV9" s="447" t="e">
        <f ca="1">IF($AM9=0,0,('4.Team'!BL38*$AM9/$AO9))</f>
        <v>#N/A</v>
      </c>
      <c r="AW9" s="447" t="e">
        <f ca="1">IF($AM9=0,0,('4.Team'!BM38*$AM9/$AO9))</f>
        <v>#N/A</v>
      </c>
      <c r="AX9" s="447" t="e">
        <f ca="1">IF($AM9=0,0,('4.Team'!BN38*$AM9/$AO9))</f>
        <v>#N/A</v>
      </c>
      <c r="AY9" s="447" t="e">
        <f ca="1">IF($AM9=0,0,('4.Team'!BO38*$AM9/$AO9))</f>
        <v>#N/A</v>
      </c>
      <c r="AZ9" s="447" t="e">
        <f ca="1">IF($AM9=0,0,('4.Team'!BP38*$AM9/$AO9))</f>
        <v>#N/A</v>
      </c>
      <c r="BA9" s="447" t="e">
        <f ca="1">IF($AM9=0,0,('4.Team'!BQ38*$AM9/$AO9))</f>
        <v>#N/A</v>
      </c>
      <c r="BB9" s="447" t="e">
        <f ca="1">IF($AM9=0,0,('4.Team'!BR38*$AM9/$AO9))</f>
        <v>#N/A</v>
      </c>
      <c r="BC9" s="447" t="e">
        <f ca="1">IF($AM9=0,0,('4.Team'!BS38*$AM9/$AO9))</f>
        <v>#N/A</v>
      </c>
      <c r="BD9" s="447" t="e">
        <f ca="1">IF($AM9=0,0,('4.Team'!BT38*$AM9/$AO9))</f>
        <v>#N/A</v>
      </c>
      <c r="BE9" s="447" t="e">
        <f ca="1">IF($AM9=0,0,('4.Team'!BU38*$AM9/$AO9))</f>
        <v>#N/A</v>
      </c>
      <c r="BF9" s="447" t="e">
        <f ca="1">IF($AM9=0,0,('4.Team'!BV38*$AM9/$AO9))</f>
        <v>#N/A</v>
      </c>
      <c r="BG9" s="447" t="e">
        <f ca="1">IF($AM9=0,0,('4.Team'!BW38*$AM9/$AO9))</f>
        <v>#N/A</v>
      </c>
      <c r="BH9" s="447" t="e">
        <f ca="1">IF($AM9=0,0,('4.Team'!BX38*$AM9/$AO9))</f>
        <v>#N/A</v>
      </c>
      <c r="BI9" s="447" t="e">
        <f ca="1">IF($AM9=0,0,('4.Team'!BY38*$AM9/$AO9))</f>
        <v>#N/A</v>
      </c>
    </row>
    <row r="10" spans="1:70" ht="15.75" hidden="1" thickBot="1">
      <c r="K10" s="102" t="e">
        <f ca="1">SUM(K5:K9)</f>
        <v>#N/A</v>
      </c>
      <c r="T10" s="102" t="e">
        <f ca="1">SUM(T5:T9)</f>
        <v>#N/A</v>
      </c>
      <c r="AC10" s="101" t="e">
        <f ca="1">SUM(AC5:AC9)</f>
        <v>#N/A</v>
      </c>
      <c r="AL10" s="101" t="e">
        <f ca="1">SUM(AL5:AL9)</f>
        <v>#N/A</v>
      </c>
      <c r="AM10" s="101" t="e">
        <f t="shared" ref="AM10:AN10" ca="1" si="26">SUM(AM5:AM9)</f>
        <v>#N/A</v>
      </c>
      <c r="AN10" s="101" t="e">
        <f t="shared" ca="1" si="26"/>
        <v>#N/A</v>
      </c>
      <c r="AO10" s="101"/>
      <c r="AP10" s="448">
        <f ca="1">IFERROR(SUM(AP5:AP9),0)</f>
        <v>0</v>
      </c>
      <c r="AQ10" s="448">
        <f t="shared" ref="AQ10:BI10" ca="1" si="27">IFERROR(SUM(AQ5:AQ9),0)</f>
        <v>0</v>
      </c>
      <c r="AR10" s="448">
        <f t="shared" ca="1" si="27"/>
        <v>0</v>
      </c>
      <c r="AS10" s="448">
        <f t="shared" ca="1" si="27"/>
        <v>0</v>
      </c>
      <c r="AT10" s="448">
        <f t="shared" ca="1" si="27"/>
        <v>0</v>
      </c>
      <c r="AU10" s="448">
        <f t="shared" ca="1" si="27"/>
        <v>0</v>
      </c>
      <c r="AV10" s="448">
        <f t="shared" ca="1" si="27"/>
        <v>0</v>
      </c>
      <c r="AW10" s="448">
        <f t="shared" ca="1" si="27"/>
        <v>0</v>
      </c>
      <c r="AX10" s="448">
        <f t="shared" ca="1" si="27"/>
        <v>0</v>
      </c>
      <c r="AY10" s="448">
        <f t="shared" ca="1" si="27"/>
        <v>0</v>
      </c>
      <c r="AZ10" s="448">
        <f t="shared" ca="1" si="27"/>
        <v>0</v>
      </c>
      <c r="BA10" s="448">
        <f t="shared" ca="1" si="27"/>
        <v>0</v>
      </c>
      <c r="BB10" s="448">
        <f t="shared" ca="1" si="27"/>
        <v>0</v>
      </c>
      <c r="BC10" s="448">
        <f t="shared" ca="1" si="27"/>
        <v>0</v>
      </c>
      <c r="BD10" s="448">
        <f t="shared" ca="1" si="27"/>
        <v>0</v>
      </c>
      <c r="BE10" s="448">
        <f t="shared" ca="1" si="27"/>
        <v>0</v>
      </c>
      <c r="BF10" s="448">
        <f t="shared" ca="1" si="27"/>
        <v>0</v>
      </c>
      <c r="BG10" s="448">
        <f t="shared" ca="1" si="27"/>
        <v>0</v>
      </c>
      <c r="BH10" s="448">
        <f t="shared" ca="1" si="27"/>
        <v>0</v>
      </c>
      <c r="BI10" s="448">
        <f t="shared" ca="1" si="27"/>
        <v>0</v>
      </c>
    </row>
    <row r="11" spans="1:70" hidden="1">
      <c r="E11" s="21"/>
      <c r="BM11" s="489">
        <f>+BM16</f>
        <v>2025</v>
      </c>
      <c r="BN11" s="489">
        <f t="shared" ref="BN11:BR11" si="28">+BN16</f>
        <v>2026</v>
      </c>
      <c r="BO11" s="489">
        <f t="shared" si="28"/>
        <v>2027</v>
      </c>
      <c r="BP11" s="489">
        <f t="shared" si="28"/>
        <v>2028</v>
      </c>
      <c r="BQ11" s="489">
        <f t="shared" si="28"/>
        <v>2029</v>
      </c>
      <c r="BR11" s="489">
        <f t="shared" si="28"/>
        <v>2030</v>
      </c>
    </row>
    <row r="12" spans="1:70" hidden="1">
      <c r="A12" t="s">
        <v>77</v>
      </c>
      <c r="B12" s="70">
        <v>6.5389999999999997E-3</v>
      </c>
      <c r="BM12" s="11">
        <v>2</v>
      </c>
      <c r="BN12" s="11">
        <v>3</v>
      </c>
      <c r="BO12" s="11">
        <v>4</v>
      </c>
      <c r="BP12" s="11">
        <v>5</v>
      </c>
      <c r="BQ12" s="11">
        <v>6</v>
      </c>
      <c r="BR12" s="11">
        <v>7</v>
      </c>
    </row>
    <row r="13" spans="1:70" hidden="1">
      <c r="A13" t="s">
        <v>115</v>
      </c>
      <c r="B13" s="70">
        <v>0.223</v>
      </c>
    </row>
    <row r="14" spans="1:70" hidden="1">
      <c r="A14" t="s">
        <v>114</v>
      </c>
      <c r="B14">
        <v>132</v>
      </c>
      <c r="AD14" t="e">
        <f ca="1">(IF(U5&gt;0,V5,IF(L5&gt;0,M5,D5)))/30*(C5+L5+U5)</f>
        <v>#N/A</v>
      </c>
    </row>
    <row r="15" spans="1:70" ht="15.75" hidden="1" thickBot="1">
      <c r="BL15" s="11">
        <v>1</v>
      </c>
      <c r="BM15" s="11">
        <v>2</v>
      </c>
      <c r="BN15" s="11">
        <v>3</v>
      </c>
      <c r="BO15" s="11">
        <v>4</v>
      </c>
      <c r="BP15" s="11">
        <v>5</v>
      </c>
      <c r="BQ15" s="11">
        <v>6</v>
      </c>
      <c r="BR15" s="11">
        <v>7</v>
      </c>
    </row>
    <row r="16" spans="1:70" ht="28.5" customHeight="1" thickTop="1">
      <c r="A16" s="75" t="s">
        <v>117</v>
      </c>
      <c r="B16" s="84" t="s">
        <v>12</v>
      </c>
      <c r="C16" s="95">
        <v>2025</v>
      </c>
      <c r="D16" s="86" t="s">
        <v>1082</v>
      </c>
      <c r="E16" s="75" t="s">
        <v>1083</v>
      </c>
      <c r="F16" s="75" t="s">
        <v>117</v>
      </c>
      <c r="I16" s="751" t="s">
        <v>763</v>
      </c>
      <c r="J16" s="752"/>
      <c r="K16" s="752"/>
      <c r="L16" s="752"/>
      <c r="M16" s="752"/>
      <c r="N16" s="752"/>
      <c r="O16" s="752"/>
      <c r="P16" s="752"/>
      <c r="Q16" s="753"/>
      <c r="R16" s="110"/>
      <c r="S16" s="110"/>
      <c r="T16" s="110"/>
      <c r="U16" s="277">
        <v>5</v>
      </c>
      <c r="V16" s="277">
        <v>6</v>
      </c>
      <c r="W16" s="277">
        <v>7</v>
      </c>
      <c r="X16" s="277">
        <v>8</v>
      </c>
      <c r="Y16" s="277">
        <v>9</v>
      </c>
      <c r="Z16" s="277">
        <v>10</v>
      </c>
      <c r="AA16" s="277">
        <v>11</v>
      </c>
      <c r="AB16" s="277">
        <v>12</v>
      </c>
      <c r="AC16" s="277">
        <v>13</v>
      </c>
      <c r="AD16" s="277">
        <v>14</v>
      </c>
      <c r="AE16" s="277">
        <v>15</v>
      </c>
      <c r="AF16" s="277">
        <v>16</v>
      </c>
      <c r="AG16" s="277">
        <v>17</v>
      </c>
      <c r="AH16" s="277">
        <v>18</v>
      </c>
      <c r="AI16" s="277">
        <v>19</v>
      </c>
      <c r="AJ16" s="277">
        <v>20</v>
      </c>
      <c r="AK16" s="277">
        <v>21</v>
      </c>
      <c r="AL16" s="277">
        <v>22</v>
      </c>
      <c r="AM16" s="277">
        <v>23</v>
      </c>
      <c r="AN16" s="277">
        <v>24</v>
      </c>
      <c r="AO16" s="277">
        <v>25</v>
      </c>
      <c r="AP16" s="277">
        <v>26</v>
      </c>
      <c r="AQ16" s="277">
        <v>27</v>
      </c>
      <c r="AR16" s="277">
        <v>28</v>
      </c>
      <c r="AS16" s="277">
        <v>29</v>
      </c>
      <c r="AT16" s="277">
        <v>30</v>
      </c>
      <c r="AU16" s="277">
        <v>33</v>
      </c>
      <c r="AV16" s="277">
        <v>38</v>
      </c>
      <c r="AW16" s="277">
        <v>44</v>
      </c>
      <c r="AX16" s="277">
        <v>49</v>
      </c>
      <c r="AY16" s="277" t="s">
        <v>126</v>
      </c>
      <c r="AZ16" s="277" t="s">
        <v>129</v>
      </c>
      <c r="BA16" s="277" t="s">
        <v>131</v>
      </c>
      <c r="BB16" s="277" t="s">
        <v>133</v>
      </c>
      <c r="BC16" s="277" t="s">
        <v>135</v>
      </c>
      <c r="BD16" s="277" t="s">
        <v>136</v>
      </c>
      <c r="BE16" s="277" t="s">
        <v>137</v>
      </c>
      <c r="BF16" s="277" t="s">
        <v>138</v>
      </c>
      <c r="BG16" s="277" t="s">
        <v>140</v>
      </c>
      <c r="BH16" s="277" t="s">
        <v>142</v>
      </c>
      <c r="BI16" s="277" t="s">
        <v>143</v>
      </c>
      <c r="BK16" s="75" t="s">
        <v>117</v>
      </c>
      <c r="BL16" s="489" t="s">
        <v>12</v>
      </c>
      <c r="BM16" s="489">
        <f>+C16</f>
        <v>2025</v>
      </c>
      <c r="BN16" s="489">
        <f>+BM16+1</f>
        <v>2026</v>
      </c>
      <c r="BO16" s="489">
        <f t="shared" ref="BO16:BP16" si="29">+BN16+1</f>
        <v>2027</v>
      </c>
      <c r="BP16" s="489">
        <f t="shared" si="29"/>
        <v>2028</v>
      </c>
      <c r="BQ16" s="489">
        <f t="shared" ref="BQ16:BR16" si="30">+BP16+1</f>
        <v>2029</v>
      </c>
      <c r="BR16" s="489">
        <f t="shared" si="30"/>
        <v>2030</v>
      </c>
    </row>
    <row r="17" spans="1:70" ht="28.5" customHeight="1">
      <c r="A17" s="78" t="s">
        <v>118</v>
      </c>
      <c r="B17" s="85">
        <v>5</v>
      </c>
      <c r="C17" s="96">
        <v>878.41</v>
      </c>
      <c r="D17" s="87"/>
      <c r="E17" s="77" t="s">
        <v>119</v>
      </c>
      <c r="F17" s="269" t="s">
        <v>118</v>
      </c>
      <c r="I17" s="75" t="s">
        <v>764</v>
      </c>
      <c r="J17" s="748" t="s">
        <v>765</v>
      </c>
      <c r="K17" s="749"/>
      <c r="L17" s="749"/>
      <c r="M17" s="749"/>
      <c r="N17" s="749"/>
      <c r="O17" s="749"/>
      <c r="P17" s="749"/>
      <c r="Q17" s="750"/>
      <c r="R17" s="110"/>
      <c r="S17" s="110"/>
      <c r="T17" s="110"/>
      <c r="U17" s="276" t="s">
        <v>776</v>
      </c>
      <c r="V17" s="276" t="s">
        <v>776</v>
      </c>
      <c r="W17" s="276" t="s">
        <v>776</v>
      </c>
      <c r="X17" s="276" t="s">
        <v>776</v>
      </c>
      <c r="Y17" s="276" t="s">
        <v>776</v>
      </c>
      <c r="Z17" s="276" t="s">
        <v>776</v>
      </c>
      <c r="AA17" s="276" t="s">
        <v>776</v>
      </c>
      <c r="AB17" s="276" t="s">
        <v>776</v>
      </c>
      <c r="AC17" s="276" t="s">
        <v>776</v>
      </c>
      <c r="AD17" s="276" t="s">
        <v>776</v>
      </c>
      <c r="AE17" s="276" t="s">
        <v>776</v>
      </c>
      <c r="AF17" s="276" t="s">
        <v>776</v>
      </c>
      <c r="AG17" s="276" t="s">
        <v>776</v>
      </c>
      <c r="AH17" s="276" t="s">
        <v>776</v>
      </c>
      <c r="AI17" s="276" t="s">
        <v>776</v>
      </c>
      <c r="AJ17" s="276" t="s">
        <v>776</v>
      </c>
      <c r="AK17" s="276" t="s">
        <v>777</v>
      </c>
      <c r="AL17" s="276" t="s">
        <v>777</v>
      </c>
      <c r="AM17" s="276" t="s">
        <v>777</v>
      </c>
      <c r="AN17" s="276" t="s">
        <v>777</v>
      </c>
      <c r="AO17" s="276" t="s">
        <v>777</v>
      </c>
      <c r="AP17" s="276" t="s">
        <v>777</v>
      </c>
      <c r="AQ17" s="276" t="s">
        <v>777</v>
      </c>
      <c r="AR17" s="276" t="s">
        <v>777</v>
      </c>
      <c r="AS17" s="276" t="s">
        <v>777</v>
      </c>
      <c r="AT17" s="276" t="s">
        <v>777</v>
      </c>
      <c r="AU17" s="276" t="s">
        <v>144</v>
      </c>
      <c r="AV17" s="276" t="s">
        <v>144</v>
      </c>
      <c r="AW17" s="276" t="s">
        <v>144</v>
      </c>
      <c r="AX17" s="276" t="s">
        <v>144</v>
      </c>
      <c r="AY17" s="276" t="s">
        <v>144</v>
      </c>
      <c r="AZ17" s="276" t="s">
        <v>144</v>
      </c>
      <c r="BA17" s="276" t="s">
        <v>144</v>
      </c>
      <c r="BB17" s="276" t="s">
        <v>144</v>
      </c>
      <c r="BC17" s="276" t="s">
        <v>144</v>
      </c>
      <c r="BD17" s="276" t="s">
        <v>144</v>
      </c>
      <c r="BE17" s="276" t="s">
        <v>144</v>
      </c>
      <c r="BF17" s="276" t="s">
        <v>144</v>
      </c>
      <c r="BG17" s="276" t="s">
        <v>144</v>
      </c>
      <c r="BH17" s="276" t="s">
        <v>144</v>
      </c>
      <c r="BI17" s="276" t="s">
        <v>144</v>
      </c>
      <c r="BK17" s="78" t="str">
        <f>+A17</f>
        <v>3-4</v>
      </c>
      <c r="BL17" s="85">
        <f>+B17</f>
        <v>5</v>
      </c>
      <c r="BM17" s="490">
        <f>+C17</f>
        <v>878.41</v>
      </c>
      <c r="BN17">
        <f>+BM17*1.03</f>
        <v>904.76229999999998</v>
      </c>
      <c r="BO17">
        <f t="shared" ref="BO17:BP17" si="31">+BN17*1.03</f>
        <v>931.905169</v>
      </c>
      <c r="BP17">
        <f t="shared" si="31"/>
        <v>959.86232407</v>
      </c>
      <c r="BQ17">
        <f t="shared" ref="BQ17:BR17" si="32">+BP17*1.03</f>
        <v>988.65819379210006</v>
      </c>
      <c r="BR17">
        <f t="shared" si="32"/>
        <v>1018.3179396058631</v>
      </c>
    </row>
    <row r="18" spans="1:70" ht="28.5" customHeight="1">
      <c r="A18" s="78" t="s">
        <v>118</v>
      </c>
      <c r="B18" s="85">
        <v>6</v>
      </c>
      <c r="C18" s="96">
        <v>926.42000000000007</v>
      </c>
      <c r="D18" s="88"/>
      <c r="E18" s="77" t="s">
        <v>119</v>
      </c>
      <c r="F18" s="269" t="s">
        <v>118</v>
      </c>
      <c r="I18" s="266">
        <v>3</v>
      </c>
      <c r="J18" s="747" t="s">
        <v>766</v>
      </c>
      <c r="K18" s="747"/>
      <c r="L18" s="747"/>
      <c r="M18" s="747"/>
      <c r="N18" s="747"/>
      <c r="O18" s="747"/>
      <c r="P18" s="747"/>
      <c r="Q18" s="747"/>
      <c r="R18" s="110"/>
      <c r="S18" s="110"/>
      <c r="T18" s="110"/>
      <c r="U18" s="276"/>
      <c r="V18" s="276"/>
      <c r="W18" s="276"/>
      <c r="X18" s="276" t="s">
        <v>777</v>
      </c>
      <c r="Y18" s="276" t="s">
        <v>777</v>
      </c>
      <c r="Z18" s="276" t="s">
        <v>777</v>
      </c>
      <c r="AA18" s="276" t="s">
        <v>777</v>
      </c>
      <c r="AB18" s="276" t="s">
        <v>777</v>
      </c>
      <c r="AC18" s="276" t="s">
        <v>777</v>
      </c>
      <c r="AD18" s="276" t="s">
        <v>777</v>
      </c>
      <c r="AE18" s="276" t="s">
        <v>777</v>
      </c>
      <c r="AF18" s="276" t="s">
        <v>777</v>
      </c>
      <c r="AG18" s="276" t="s">
        <v>777</v>
      </c>
      <c r="AH18" s="276" t="s">
        <v>777</v>
      </c>
      <c r="AI18" s="276" t="s">
        <v>777</v>
      </c>
      <c r="AJ18" s="276" t="s">
        <v>777</v>
      </c>
      <c r="AK18" s="276" t="s">
        <v>778</v>
      </c>
      <c r="AL18" s="276" t="s">
        <v>778</v>
      </c>
      <c r="AM18" s="276" t="s">
        <v>778</v>
      </c>
      <c r="AN18" s="276" t="s">
        <v>778</v>
      </c>
      <c r="AO18" s="276" t="s">
        <v>778</v>
      </c>
      <c r="AP18" s="276" t="s">
        <v>778</v>
      </c>
      <c r="AQ18" s="276" t="s">
        <v>778</v>
      </c>
      <c r="AR18" s="276" t="s">
        <v>778</v>
      </c>
      <c r="AS18" s="276" t="s">
        <v>778</v>
      </c>
      <c r="AT18" s="276" t="s">
        <v>778</v>
      </c>
      <c r="AU18" s="276"/>
      <c r="AV18" s="276"/>
      <c r="AW18" s="276"/>
      <c r="AX18" s="276"/>
      <c r="AY18" s="276"/>
      <c r="AZ18" s="276"/>
      <c r="BA18" s="276"/>
      <c r="BB18" s="276"/>
      <c r="BC18" s="276"/>
      <c r="BD18" s="276"/>
      <c r="BE18" s="276"/>
      <c r="BF18" s="276"/>
      <c r="BG18" s="276"/>
      <c r="BH18" s="276"/>
      <c r="BI18" s="276"/>
      <c r="BK18" s="78" t="str">
        <f t="shared" ref="BK18:BK57" si="33">+A18</f>
        <v>3-4</v>
      </c>
      <c r="BL18" s="85">
        <f t="shared" ref="BL18:BL57" si="34">+B18</f>
        <v>6</v>
      </c>
      <c r="BM18" s="490">
        <f t="shared" ref="BM18:BM57" si="35">+C18</f>
        <v>926.42000000000007</v>
      </c>
      <c r="BN18">
        <f t="shared" ref="BN18:BP57" si="36">+BM18*1.03</f>
        <v>954.21260000000007</v>
      </c>
      <c r="BO18">
        <f t="shared" si="36"/>
        <v>982.83897800000011</v>
      </c>
      <c r="BP18">
        <f t="shared" si="36"/>
        <v>1012.3241473400002</v>
      </c>
      <c r="BQ18">
        <f t="shared" ref="BQ18:BR18" si="37">+BP18*1.03</f>
        <v>1042.6938717602002</v>
      </c>
      <c r="BR18">
        <f t="shared" si="37"/>
        <v>1073.9746879130062</v>
      </c>
    </row>
    <row r="19" spans="1:70" ht="28.5" customHeight="1">
      <c r="A19" s="78" t="s">
        <v>118</v>
      </c>
      <c r="B19" s="85">
        <v>7</v>
      </c>
      <c r="C19" s="96">
        <v>979.05000000000007</v>
      </c>
      <c r="D19" s="87"/>
      <c r="E19" s="77" t="s">
        <v>119</v>
      </c>
      <c r="F19" s="269" t="s">
        <v>118</v>
      </c>
      <c r="I19" s="266">
        <v>4</v>
      </c>
      <c r="J19" s="747" t="s">
        <v>767</v>
      </c>
      <c r="K19" s="747"/>
      <c r="L19" s="747"/>
      <c r="M19" s="747"/>
      <c r="N19" s="747"/>
      <c r="O19" s="747"/>
      <c r="P19" s="747"/>
      <c r="Q19" s="747"/>
      <c r="R19" s="110"/>
      <c r="S19" s="110"/>
      <c r="T19" s="110"/>
      <c r="U19" s="276"/>
      <c r="V19" s="276"/>
      <c r="W19" s="276"/>
      <c r="X19" s="276" t="s">
        <v>778</v>
      </c>
      <c r="Y19" s="276" t="s">
        <v>778</v>
      </c>
      <c r="Z19" s="276" t="s">
        <v>778</v>
      </c>
      <c r="AA19" s="276" t="s">
        <v>778</v>
      </c>
      <c r="AB19" s="276" t="s">
        <v>778</v>
      </c>
      <c r="AC19" s="276" t="s">
        <v>778</v>
      </c>
      <c r="AD19" s="276" t="s">
        <v>778</v>
      </c>
      <c r="AE19" s="276" t="s">
        <v>778</v>
      </c>
      <c r="AF19" s="276" t="s">
        <v>778</v>
      </c>
      <c r="AG19" s="276" t="s">
        <v>778</v>
      </c>
      <c r="AH19" s="276" t="s">
        <v>778</v>
      </c>
      <c r="AI19" s="276" t="s">
        <v>778</v>
      </c>
      <c r="AJ19" s="276" t="s">
        <v>778</v>
      </c>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K19" s="78" t="str">
        <f t="shared" si="33"/>
        <v>3-4</v>
      </c>
      <c r="BL19" s="85">
        <f t="shared" si="34"/>
        <v>7</v>
      </c>
      <c r="BM19" s="490">
        <f t="shared" si="35"/>
        <v>979.05000000000007</v>
      </c>
      <c r="BN19">
        <f t="shared" si="36"/>
        <v>1008.4215000000002</v>
      </c>
      <c r="BO19">
        <f t="shared" si="36"/>
        <v>1038.6741450000002</v>
      </c>
      <c r="BP19">
        <f t="shared" si="36"/>
        <v>1069.8343693500003</v>
      </c>
      <c r="BQ19">
        <f t="shared" ref="BQ19:BR19" si="38">+BP19*1.03</f>
        <v>1101.9294004305004</v>
      </c>
      <c r="BR19">
        <f t="shared" si="38"/>
        <v>1134.9872824434156</v>
      </c>
    </row>
    <row r="20" spans="1:70" ht="28.5" customHeight="1">
      <c r="A20" s="76" t="s">
        <v>120</v>
      </c>
      <c r="B20" s="85">
        <v>8</v>
      </c>
      <c r="C20" s="96">
        <v>1017.98</v>
      </c>
      <c r="D20" s="88"/>
      <c r="E20" s="79" t="s">
        <v>1079</v>
      </c>
      <c r="F20" s="269" t="s">
        <v>120</v>
      </c>
      <c r="I20" s="266">
        <v>5</v>
      </c>
      <c r="J20" s="747" t="s">
        <v>768</v>
      </c>
      <c r="K20" s="747"/>
      <c r="L20" s="747"/>
      <c r="M20" s="747"/>
      <c r="N20" s="747"/>
      <c r="O20" s="747"/>
      <c r="P20" s="747"/>
      <c r="Q20" s="747"/>
      <c r="R20" s="110"/>
      <c r="S20" s="110"/>
      <c r="T20" s="110"/>
      <c r="U20" s="110"/>
      <c r="V20" s="110"/>
      <c r="W20" s="110"/>
      <c r="X20" s="110"/>
      <c r="Y20" s="110"/>
      <c r="Z20" s="110"/>
      <c r="AA20" s="110"/>
      <c r="AB20" s="110"/>
      <c r="BK20" s="78" t="str">
        <f t="shared" si="33"/>
        <v>3-7</v>
      </c>
      <c r="BL20" s="85">
        <f t="shared" si="34"/>
        <v>8</v>
      </c>
      <c r="BM20" s="490">
        <f t="shared" si="35"/>
        <v>1017.98</v>
      </c>
      <c r="BN20">
        <f t="shared" si="36"/>
        <v>1048.5194000000001</v>
      </c>
      <c r="BO20">
        <f t="shared" si="36"/>
        <v>1079.9749820000002</v>
      </c>
      <c r="BP20">
        <f t="shared" si="36"/>
        <v>1112.3742314600001</v>
      </c>
      <c r="BQ20">
        <f t="shared" ref="BQ20:BR20" si="39">+BP20*1.03</f>
        <v>1145.7454584038003</v>
      </c>
      <c r="BR20">
        <f t="shared" si="39"/>
        <v>1180.1178221559144</v>
      </c>
    </row>
    <row r="21" spans="1:70" ht="28.5" customHeight="1">
      <c r="A21" s="76" t="s">
        <v>120</v>
      </c>
      <c r="B21" s="85">
        <v>9</v>
      </c>
      <c r="C21" s="96">
        <v>1074.1399999999999</v>
      </c>
      <c r="D21" s="88"/>
      <c r="E21" s="79" t="s">
        <v>1079</v>
      </c>
      <c r="F21" s="269" t="s">
        <v>120</v>
      </c>
      <c r="I21" s="266">
        <v>6</v>
      </c>
      <c r="J21" s="747" t="s">
        <v>769</v>
      </c>
      <c r="K21" s="747"/>
      <c r="L21" s="747"/>
      <c r="M21" s="747"/>
      <c r="N21" s="747"/>
      <c r="O21" s="747"/>
      <c r="P21" s="747"/>
      <c r="Q21" s="747"/>
      <c r="R21" s="110"/>
      <c r="S21" s="110"/>
      <c r="T21" s="110"/>
      <c r="U21" s="279" t="s">
        <v>694</v>
      </c>
      <c r="V21" s="279" t="s">
        <v>695</v>
      </c>
      <c r="W21" s="279" t="s">
        <v>696</v>
      </c>
      <c r="X21" s="279" t="s">
        <v>697</v>
      </c>
      <c r="Y21" s="279" t="s">
        <v>698</v>
      </c>
      <c r="Z21" s="110"/>
      <c r="AA21" s="110"/>
      <c r="AB21" s="110"/>
      <c r="BK21" s="78" t="str">
        <f t="shared" si="33"/>
        <v>3-7</v>
      </c>
      <c r="BL21" s="85">
        <f t="shared" si="34"/>
        <v>9</v>
      </c>
      <c r="BM21" s="490">
        <f t="shared" si="35"/>
        <v>1074.1399999999999</v>
      </c>
      <c r="BN21">
        <f t="shared" si="36"/>
        <v>1106.3642</v>
      </c>
      <c r="BO21">
        <f t="shared" si="36"/>
        <v>1139.555126</v>
      </c>
      <c r="BP21">
        <f t="shared" si="36"/>
        <v>1173.7417797800001</v>
      </c>
      <c r="BQ21">
        <f t="shared" ref="BQ21:BR21" si="40">+BP21*1.03</f>
        <v>1208.9540331734001</v>
      </c>
      <c r="BR21">
        <f t="shared" si="40"/>
        <v>1245.2226541686023</v>
      </c>
    </row>
    <row r="22" spans="1:70" ht="28.5" customHeight="1">
      <c r="A22" s="78" t="s">
        <v>120</v>
      </c>
      <c r="B22" s="85">
        <v>10</v>
      </c>
      <c r="C22" s="96">
        <v>1126.77</v>
      </c>
      <c r="D22" s="88"/>
      <c r="E22" s="79" t="s">
        <v>1079</v>
      </c>
      <c r="F22" s="269" t="s">
        <v>120</v>
      </c>
      <c r="I22" s="266">
        <v>7</v>
      </c>
      <c r="J22" s="747" t="s">
        <v>770</v>
      </c>
      <c r="K22" s="747"/>
      <c r="L22" s="747"/>
      <c r="M22" s="747"/>
      <c r="N22" s="747"/>
      <c r="O22" s="747"/>
      <c r="P22" s="747"/>
      <c r="Q22" s="747"/>
      <c r="R22" s="110"/>
      <c r="S22" s="110"/>
      <c r="T22" s="110"/>
      <c r="U22" s="278">
        <f>VLOOKUP(U21,'4.Team'!$B$34:$D$38,3,FALSE)</f>
        <v>0</v>
      </c>
      <c r="V22" s="278">
        <f>VLOOKUP(V21,'4.Team'!$B$34:$D$38,3,FALSE)</f>
        <v>0</v>
      </c>
      <c r="W22" s="278">
        <f>VLOOKUP(W21,'4.Team'!$B$34:$D$38,3,FALSE)</f>
        <v>0</v>
      </c>
      <c r="X22" s="278">
        <f>VLOOKUP(X21,'4.Team'!$B$34:$D$38,3,FALSE)</f>
        <v>0</v>
      </c>
      <c r="Y22" s="278">
        <f>VLOOKUP(Y21,'4.Team'!$B$34:$D$38,3,FALSE)</f>
        <v>0</v>
      </c>
      <c r="Z22" s="110"/>
      <c r="AA22" s="110"/>
      <c r="AB22" s="110"/>
      <c r="BK22" s="78" t="str">
        <f t="shared" si="33"/>
        <v>3-7</v>
      </c>
      <c r="BL22" s="85">
        <f t="shared" si="34"/>
        <v>10</v>
      </c>
      <c r="BM22" s="490">
        <f t="shared" si="35"/>
        <v>1126.77</v>
      </c>
      <c r="BN22">
        <f t="shared" si="36"/>
        <v>1160.5731000000001</v>
      </c>
      <c r="BO22">
        <f t="shared" si="36"/>
        <v>1195.3902930000002</v>
      </c>
      <c r="BP22">
        <f t="shared" si="36"/>
        <v>1231.2520017900001</v>
      </c>
      <c r="BQ22">
        <f t="shared" ref="BQ22:BR22" si="41">+BP22*1.03</f>
        <v>1268.1895618437002</v>
      </c>
      <c r="BR22">
        <f t="shared" si="41"/>
        <v>1306.2352486990112</v>
      </c>
    </row>
    <row r="23" spans="1:70" ht="28.5" customHeight="1">
      <c r="A23" s="80" t="s">
        <v>120</v>
      </c>
      <c r="B23" s="85">
        <v>11</v>
      </c>
      <c r="C23" s="96">
        <v>1179.42</v>
      </c>
      <c r="D23" s="88"/>
      <c r="E23" s="79" t="s">
        <v>1079</v>
      </c>
      <c r="F23" s="269" t="s">
        <v>120</v>
      </c>
      <c r="I23" s="266">
        <v>8</v>
      </c>
      <c r="J23" s="747" t="s">
        <v>771</v>
      </c>
      <c r="K23" s="747"/>
      <c r="L23" s="747"/>
      <c r="M23" s="747"/>
      <c r="N23" s="747"/>
      <c r="O23" s="747"/>
      <c r="P23" s="747"/>
      <c r="Q23" s="747"/>
      <c r="R23" s="110"/>
      <c r="S23" s="110"/>
      <c r="T23" s="110"/>
      <c r="U23" s="278" t="str">
        <f>IFERROR(HLOOKUP(U$22,$U$16:$BI$19,2,FALSE),"")</f>
        <v/>
      </c>
      <c r="V23" s="278" t="str">
        <f t="shared" ref="V23:Y23" si="42">IFERROR(HLOOKUP(V$22,$U$16:$BI$19,2,FALSE),"")</f>
        <v/>
      </c>
      <c r="W23" s="278" t="str">
        <f t="shared" si="42"/>
        <v/>
      </c>
      <c r="X23" s="278" t="str">
        <f t="shared" si="42"/>
        <v/>
      </c>
      <c r="Y23" s="278" t="str">
        <f t="shared" si="42"/>
        <v/>
      </c>
      <c r="Z23" s="110"/>
      <c r="AA23" s="110"/>
      <c r="AB23" s="110"/>
      <c r="BK23" s="78" t="str">
        <f t="shared" si="33"/>
        <v>3-7</v>
      </c>
      <c r="BL23" s="85">
        <f t="shared" si="34"/>
        <v>11</v>
      </c>
      <c r="BM23" s="490">
        <f t="shared" si="35"/>
        <v>1179.42</v>
      </c>
      <c r="BN23">
        <f t="shared" si="36"/>
        <v>1214.8026000000002</v>
      </c>
      <c r="BO23">
        <f t="shared" si="36"/>
        <v>1251.2466780000002</v>
      </c>
      <c r="BP23">
        <f t="shared" si="36"/>
        <v>1288.7840783400002</v>
      </c>
      <c r="BQ23">
        <f t="shared" ref="BQ23:BR23" si="43">+BP23*1.03</f>
        <v>1327.4476006902003</v>
      </c>
      <c r="BR23">
        <f t="shared" si="43"/>
        <v>1367.2710287109062</v>
      </c>
    </row>
    <row r="24" spans="1:70" ht="28.5" customHeight="1">
      <c r="A24" s="80" t="s">
        <v>120</v>
      </c>
      <c r="B24" s="85">
        <v>12</v>
      </c>
      <c r="C24" s="96">
        <v>1232.04</v>
      </c>
      <c r="D24" s="88"/>
      <c r="E24" s="79" t="s">
        <v>1079</v>
      </c>
      <c r="F24" s="269" t="s">
        <v>120</v>
      </c>
      <c r="R24" s="110"/>
      <c r="S24" s="110"/>
      <c r="T24" s="110"/>
      <c r="U24" s="278" t="str">
        <f>IFERROR(HLOOKUP(U$22,$U$16:$BI$19,3,FALSE),"")</f>
        <v/>
      </c>
      <c r="V24" s="278" t="str">
        <f t="shared" ref="V24:Y24" si="44">IFERROR(HLOOKUP(V$22,$U$16:$BI$19,3,FALSE),"")</f>
        <v/>
      </c>
      <c r="W24" s="278" t="str">
        <f t="shared" si="44"/>
        <v/>
      </c>
      <c r="X24" s="278" t="str">
        <f t="shared" si="44"/>
        <v/>
      </c>
      <c r="Y24" s="278" t="str">
        <f t="shared" si="44"/>
        <v/>
      </c>
      <c r="Z24" s="110"/>
      <c r="AA24" s="110"/>
      <c r="AB24" s="110"/>
      <c r="BK24" s="78" t="str">
        <f t="shared" si="33"/>
        <v>3-7</v>
      </c>
      <c r="BL24" s="85">
        <f t="shared" si="34"/>
        <v>12</v>
      </c>
      <c r="BM24" s="490">
        <f t="shared" si="35"/>
        <v>1232.04</v>
      </c>
      <c r="BN24">
        <f t="shared" si="36"/>
        <v>1269.0011999999999</v>
      </c>
      <c r="BO24">
        <f t="shared" si="36"/>
        <v>1307.071236</v>
      </c>
      <c r="BP24">
        <f t="shared" si="36"/>
        <v>1346.28337308</v>
      </c>
      <c r="BQ24">
        <f t="shared" ref="BQ24:BR24" si="45">+BP24*1.03</f>
        <v>1386.6718742724001</v>
      </c>
      <c r="BR24">
        <f t="shared" si="45"/>
        <v>1428.2720305005721</v>
      </c>
    </row>
    <row r="25" spans="1:70" ht="28.5" customHeight="1">
      <c r="A25" s="80" t="s">
        <v>120</v>
      </c>
      <c r="B25" s="85">
        <v>13</v>
      </c>
      <c r="C25" s="96">
        <v>1284.67</v>
      </c>
      <c r="D25" s="89"/>
      <c r="E25" s="79" t="s">
        <v>1079</v>
      </c>
      <c r="F25" s="269" t="s">
        <v>120</v>
      </c>
      <c r="G25" s="110"/>
      <c r="H25" s="110"/>
      <c r="I25" s="731" t="s">
        <v>1058</v>
      </c>
      <c r="J25" s="732"/>
      <c r="K25" s="732"/>
      <c r="L25" s="732"/>
      <c r="M25" s="732"/>
      <c r="N25" s="732"/>
      <c r="O25" s="732"/>
      <c r="P25" s="732"/>
      <c r="Q25" s="732"/>
      <c r="R25" s="732"/>
      <c r="S25" s="110"/>
      <c r="T25" s="110"/>
      <c r="U25" s="278" t="str">
        <f>IFERROR(HLOOKUP(U$22,$U$16:$BI$19,4,FALSE),"")</f>
        <v/>
      </c>
      <c r="V25" s="278" t="str">
        <f t="shared" ref="V25:Y25" si="46">IFERROR(HLOOKUP(V$22,$U$16:$BI$19,4,FALSE),"")</f>
        <v/>
      </c>
      <c r="W25" s="278" t="str">
        <f t="shared" si="46"/>
        <v/>
      </c>
      <c r="X25" s="278" t="str">
        <f t="shared" si="46"/>
        <v/>
      </c>
      <c r="Y25" s="278" t="str">
        <f t="shared" si="46"/>
        <v/>
      </c>
      <c r="Z25" s="110"/>
      <c r="AA25" s="110"/>
      <c r="AB25" s="110"/>
      <c r="BK25" s="78" t="str">
        <f t="shared" si="33"/>
        <v>3-7</v>
      </c>
      <c r="BL25" s="85">
        <f t="shared" si="34"/>
        <v>13</v>
      </c>
      <c r="BM25" s="490">
        <f t="shared" si="35"/>
        <v>1284.67</v>
      </c>
      <c r="BN25">
        <f t="shared" si="36"/>
        <v>1323.2101</v>
      </c>
      <c r="BO25">
        <f t="shared" si="36"/>
        <v>1362.906403</v>
      </c>
      <c r="BP25">
        <f t="shared" si="36"/>
        <v>1403.7935950900001</v>
      </c>
      <c r="BQ25">
        <f t="shared" ref="BQ25:BR25" si="47">+BP25*1.03</f>
        <v>1445.9074029427002</v>
      </c>
      <c r="BR25">
        <f t="shared" si="47"/>
        <v>1489.2846250309813</v>
      </c>
    </row>
    <row r="26" spans="1:70" ht="28.5" customHeight="1">
      <c r="A26" s="80" t="s">
        <v>120</v>
      </c>
      <c r="B26" s="85">
        <v>14</v>
      </c>
      <c r="C26" s="96">
        <v>1337.3000000000002</v>
      </c>
      <c r="D26" s="89"/>
      <c r="E26" s="79" t="s">
        <v>1079</v>
      </c>
      <c r="F26" s="269" t="s">
        <v>120</v>
      </c>
      <c r="G26" s="110"/>
      <c r="H26" s="110"/>
      <c r="I26" s="733" t="s">
        <v>1059</v>
      </c>
      <c r="J26" s="597" t="s">
        <v>119</v>
      </c>
      <c r="K26" s="734" t="s">
        <v>1060</v>
      </c>
      <c r="L26" s="734"/>
      <c r="M26" s="734"/>
      <c r="N26" s="734"/>
      <c r="O26" s="734"/>
      <c r="P26" s="734"/>
      <c r="Q26" s="734"/>
      <c r="R26" s="735" t="s">
        <v>1061</v>
      </c>
      <c r="S26" s="110"/>
      <c r="T26" s="110"/>
      <c r="U26" s="110"/>
      <c r="V26" s="110"/>
      <c r="W26" s="110"/>
      <c r="X26" s="110"/>
      <c r="Y26" s="110"/>
      <c r="Z26" s="110"/>
      <c r="AA26" s="110"/>
      <c r="AB26" s="110"/>
      <c r="BK26" s="78" t="str">
        <f t="shared" si="33"/>
        <v>3-7</v>
      </c>
      <c r="BL26" s="85">
        <f t="shared" si="34"/>
        <v>14</v>
      </c>
      <c r="BM26" s="490">
        <f t="shared" si="35"/>
        <v>1337.3000000000002</v>
      </c>
      <c r="BN26">
        <f t="shared" si="36"/>
        <v>1377.4190000000003</v>
      </c>
      <c r="BO26">
        <f t="shared" si="36"/>
        <v>1418.7415700000004</v>
      </c>
      <c r="BP26">
        <f t="shared" si="36"/>
        <v>1461.3038171000005</v>
      </c>
      <c r="BQ26">
        <f t="shared" ref="BQ26:BR26" si="48">+BP26*1.03</f>
        <v>1505.1429316130007</v>
      </c>
      <c r="BR26">
        <f t="shared" si="48"/>
        <v>1550.2972195613906</v>
      </c>
    </row>
    <row r="27" spans="1:70" ht="28.5" customHeight="1">
      <c r="A27" s="80" t="s">
        <v>120</v>
      </c>
      <c r="B27" s="85">
        <v>15</v>
      </c>
      <c r="C27" s="96">
        <v>1389.9299999999998</v>
      </c>
      <c r="D27" s="89"/>
      <c r="E27" s="79" t="s">
        <v>1079</v>
      </c>
      <c r="F27" s="269" t="s">
        <v>120</v>
      </c>
      <c r="G27" s="110"/>
      <c r="H27" s="110"/>
      <c r="I27" s="733"/>
      <c r="J27" s="597" t="s">
        <v>1062</v>
      </c>
      <c r="K27" s="734" t="s">
        <v>1063</v>
      </c>
      <c r="L27" s="734"/>
      <c r="M27" s="734"/>
      <c r="N27" s="734"/>
      <c r="O27" s="734"/>
      <c r="P27" s="734"/>
      <c r="Q27" s="734"/>
      <c r="R27" s="736"/>
      <c r="S27" s="110"/>
      <c r="T27" s="110"/>
      <c r="U27" s="110"/>
      <c r="V27" s="110"/>
      <c r="W27" s="110"/>
      <c r="X27" s="110"/>
      <c r="Y27" s="110"/>
      <c r="Z27" s="110"/>
      <c r="AA27" s="110"/>
      <c r="AB27" s="110"/>
      <c r="BK27" s="78" t="str">
        <f t="shared" si="33"/>
        <v>3-7</v>
      </c>
      <c r="BL27" s="85">
        <f t="shared" si="34"/>
        <v>15</v>
      </c>
      <c r="BM27" s="490">
        <f t="shared" si="35"/>
        <v>1389.9299999999998</v>
      </c>
      <c r="BN27">
        <f t="shared" si="36"/>
        <v>1431.6279</v>
      </c>
      <c r="BO27">
        <f t="shared" si="36"/>
        <v>1474.5767370000001</v>
      </c>
      <c r="BP27">
        <f t="shared" si="36"/>
        <v>1518.8140391100001</v>
      </c>
      <c r="BQ27">
        <f t="shared" ref="BQ27:BR27" si="49">+BP27*1.03</f>
        <v>1564.3784602833</v>
      </c>
      <c r="BR27">
        <f t="shared" si="49"/>
        <v>1611.3098140917991</v>
      </c>
    </row>
    <row r="28" spans="1:70" ht="28.5" customHeight="1">
      <c r="A28" s="80" t="s">
        <v>120</v>
      </c>
      <c r="B28" s="85">
        <v>16</v>
      </c>
      <c r="C28" s="96">
        <v>1442.5700000000002</v>
      </c>
      <c r="D28" s="89"/>
      <c r="E28" s="79" t="s">
        <v>1079</v>
      </c>
      <c r="F28" s="269" t="s">
        <v>120</v>
      </c>
      <c r="G28" s="110"/>
      <c r="H28" s="110"/>
      <c r="I28" s="733"/>
      <c r="J28" s="597" t="s">
        <v>1064</v>
      </c>
      <c r="K28" s="734" t="s">
        <v>1065</v>
      </c>
      <c r="L28" s="734"/>
      <c r="M28" s="734"/>
      <c r="N28" s="734"/>
      <c r="O28" s="734"/>
      <c r="P28" s="734"/>
      <c r="Q28" s="734"/>
      <c r="R28" s="736"/>
      <c r="S28" s="110"/>
      <c r="T28" s="110"/>
      <c r="U28" s="110"/>
      <c r="V28" s="110"/>
      <c r="W28" s="110"/>
      <c r="X28" s="110"/>
      <c r="Y28" s="110"/>
      <c r="Z28" s="110"/>
      <c r="AA28" s="110"/>
      <c r="AB28" s="110"/>
      <c r="BK28" s="78" t="str">
        <f t="shared" si="33"/>
        <v>3-7</v>
      </c>
      <c r="BL28" s="85">
        <f t="shared" si="34"/>
        <v>16</v>
      </c>
      <c r="BM28" s="490">
        <f t="shared" si="35"/>
        <v>1442.5700000000002</v>
      </c>
      <c r="BN28">
        <f t="shared" si="36"/>
        <v>1485.8471000000002</v>
      </c>
      <c r="BO28">
        <f t="shared" si="36"/>
        <v>1530.4225130000002</v>
      </c>
      <c r="BP28">
        <f t="shared" si="36"/>
        <v>1576.3351883900002</v>
      </c>
      <c r="BQ28">
        <f t="shared" ref="BQ28:BR28" si="50">+BP28*1.03</f>
        <v>1623.6252440417002</v>
      </c>
      <c r="BR28">
        <f t="shared" si="50"/>
        <v>1672.3340013629513</v>
      </c>
    </row>
    <row r="29" spans="1:70" ht="28.5" customHeight="1">
      <c r="A29" s="80" t="s">
        <v>120</v>
      </c>
      <c r="B29" s="85">
        <v>17</v>
      </c>
      <c r="C29" s="96">
        <v>1495.1999999999998</v>
      </c>
      <c r="D29" s="89"/>
      <c r="E29" s="79" t="s">
        <v>1079</v>
      </c>
      <c r="F29" s="269" t="s">
        <v>120</v>
      </c>
      <c r="G29" s="110"/>
      <c r="H29" s="110"/>
      <c r="I29" s="733"/>
      <c r="J29" s="597" t="s">
        <v>1066</v>
      </c>
      <c r="K29" s="734" t="s">
        <v>1067</v>
      </c>
      <c r="L29" s="734"/>
      <c r="M29" s="734"/>
      <c r="N29" s="734"/>
      <c r="O29" s="734"/>
      <c r="P29" s="734"/>
      <c r="Q29" s="734"/>
      <c r="R29" s="736"/>
      <c r="S29" s="110"/>
      <c r="T29" s="110"/>
      <c r="U29" s="110"/>
      <c r="V29" s="110"/>
      <c r="W29" s="110"/>
      <c r="X29" s="110"/>
      <c r="Y29" s="110"/>
      <c r="Z29" s="110"/>
      <c r="AA29" s="110"/>
      <c r="AB29" s="110"/>
      <c r="BK29" s="78" t="str">
        <f t="shared" si="33"/>
        <v>3-7</v>
      </c>
      <c r="BL29" s="85">
        <f t="shared" si="34"/>
        <v>17</v>
      </c>
      <c r="BM29" s="490">
        <f t="shared" si="35"/>
        <v>1495.1999999999998</v>
      </c>
      <c r="BN29">
        <f t="shared" si="36"/>
        <v>1540.0559999999998</v>
      </c>
      <c r="BO29">
        <f t="shared" si="36"/>
        <v>1586.2576799999999</v>
      </c>
      <c r="BP29">
        <f t="shared" si="36"/>
        <v>1633.8454104</v>
      </c>
      <c r="BQ29">
        <f t="shared" ref="BQ29:BR29" si="51">+BP29*1.03</f>
        <v>1682.860772712</v>
      </c>
      <c r="BR29">
        <f t="shared" si="51"/>
        <v>1733.34659589336</v>
      </c>
    </row>
    <row r="30" spans="1:70" ht="28.5" customHeight="1">
      <c r="A30" s="80" t="s">
        <v>120</v>
      </c>
      <c r="B30" s="85">
        <v>18</v>
      </c>
      <c r="C30" s="96">
        <v>1547.83</v>
      </c>
      <c r="D30" s="87"/>
      <c r="E30" s="79" t="s">
        <v>1079</v>
      </c>
      <c r="F30" s="269" t="s">
        <v>120</v>
      </c>
      <c r="G30" s="110"/>
      <c r="H30" s="110"/>
      <c r="I30" s="733"/>
      <c r="J30" s="597" t="s">
        <v>1068</v>
      </c>
      <c r="K30" s="734" t="s">
        <v>1069</v>
      </c>
      <c r="L30" s="734"/>
      <c r="M30" s="734"/>
      <c r="N30" s="734"/>
      <c r="O30" s="734"/>
      <c r="P30" s="734"/>
      <c r="Q30" s="734"/>
      <c r="R30" s="736"/>
      <c r="S30" s="110"/>
      <c r="T30" s="110"/>
      <c r="U30" s="110"/>
      <c r="V30" s="110"/>
      <c r="W30" s="110"/>
      <c r="X30" s="110"/>
      <c r="Y30" s="110"/>
      <c r="Z30" s="110"/>
      <c r="AA30" s="110"/>
      <c r="AB30" s="110"/>
      <c r="BK30" s="78" t="str">
        <f t="shared" si="33"/>
        <v>3-7</v>
      </c>
      <c r="BL30" s="85">
        <f t="shared" si="34"/>
        <v>18</v>
      </c>
      <c r="BM30" s="490">
        <f t="shared" si="35"/>
        <v>1547.83</v>
      </c>
      <c r="BN30">
        <f t="shared" si="36"/>
        <v>1594.2648999999999</v>
      </c>
      <c r="BO30">
        <f t="shared" si="36"/>
        <v>1642.0928469999999</v>
      </c>
      <c r="BP30">
        <f t="shared" si="36"/>
        <v>1691.35563241</v>
      </c>
      <c r="BQ30">
        <f t="shared" ref="BQ30:BR30" si="52">+BP30*1.03</f>
        <v>1742.0963013823</v>
      </c>
      <c r="BR30">
        <f t="shared" si="52"/>
        <v>1794.359190423769</v>
      </c>
    </row>
    <row r="31" spans="1:70" ht="28.5" customHeight="1">
      <c r="A31" s="80" t="s">
        <v>120</v>
      </c>
      <c r="B31" s="85">
        <v>19</v>
      </c>
      <c r="C31" s="96">
        <v>1600.46</v>
      </c>
      <c r="D31" s="89"/>
      <c r="E31" s="79" t="s">
        <v>1079</v>
      </c>
      <c r="F31" s="269" t="s">
        <v>120</v>
      </c>
      <c r="G31" s="110"/>
      <c r="H31" s="110"/>
      <c r="I31" s="733"/>
      <c r="J31" s="597" t="s">
        <v>1070</v>
      </c>
      <c r="K31" s="734" t="s">
        <v>1071</v>
      </c>
      <c r="L31" s="734"/>
      <c r="M31" s="734"/>
      <c r="N31" s="734"/>
      <c r="O31" s="734"/>
      <c r="P31" s="734"/>
      <c r="Q31" s="734"/>
      <c r="R31" s="736"/>
      <c r="S31" s="110"/>
      <c r="T31" s="110"/>
      <c r="U31" s="110"/>
      <c r="V31" s="110"/>
      <c r="W31" s="110"/>
      <c r="X31" s="110"/>
      <c r="Y31" s="110"/>
      <c r="Z31" s="110"/>
      <c r="AA31" s="110"/>
      <c r="AB31" s="110"/>
      <c r="BK31" s="78" t="str">
        <f t="shared" si="33"/>
        <v>3-7</v>
      </c>
      <c r="BL31" s="85">
        <f t="shared" si="34"/>
        <v>19</v>
      </c>
      <c r="BM31" s="490">
        <f t="shared" si="35"/>
        <v>1600.46</v>
      </c>
      <c r="BN31">
        <f t="shared" si="36"/>
        <v>1648.4738</v>
      </c>
      <c r="BO31">
        <f t="shared" si="36"/>
        <v>1697.9280140000001</v>
      </c>
      <c r="BP31">
        <f t="shared" si="36"/>
        <v>1748.8658544200002</v>
      </c>
      <c r="BQ31">
        <f t="shared" ref="BQ31:BR31" si="53">+BP31*1.03</f>
        <v>1801.3318300526003</v>
      </c>
      <c r="BR31">
        <f t="shared" si="53"/>
        <v>1855.3717849541783</v>
      </c>
    </row>
    <row r="32" spans="1:70" ht="28.5" customHeight="1">
      <c r="A32" s="80" t="s">
        <v>120</v>
      </c>
      <c r="B32" s="85">
        <v>20</v>
      </c>
      <c r="C32" s="96">
        <v>1653.1</v>
      </c>
      <c r="D32" s="89"/>
      <c r="E32" s="79" t="s">
        <v>1079</v>
      </c>
      <c r="F32" s="269" t="s">
        <v>120</v>
      </c>
      <c r="G32" s="110"/>
      <c r="H32" s="110"/>
      <c r="I32" s="733" t="s">
        <v>1072</v>
      </c>
      <c r="J32" s="597" t="s">
        <v>122</v>
      </c>
      <c r="K32" s="734" t="s">
        <v>1073</v>
      </c>
      <c r="L32" s="734"/>
      <c r="M32" s="734"/>
      <c r="N32" s="734"/>
      <c r="O32" s="734"/>
      <c r="P32" s="734"/>
      <c r="Q32" s="734"/>
      <c r="R32" s="736"/>
      <c r="S32" s="110"/>
      <c r="T32" s="110"/>
      <c r="U32" s="110"/>
      <c r="V32" s="110"/>
      <c r="W32" s="110"/>
      <c r="X32" s="110"/>
      <c r="Y32" s="110"/>
      <c r="Z32" s="110"/>
      <c r="AA32" s="110"/>
      <c r="AB32" s="110"/>
      <c r="BK32" s="78" t="str">
        <f t="shared" si="33"/>
        <v>3-7</v>
      </c>
      <c r="BL32" s="85">
        <f t="shared" si="34"/>
        <v>20</v>
      </c>
      <c r="BM32" s="490">
        <f t="shared" si="35"/>
        <v>1653.1</v>
      </c>
      <c r="BN32">
        <f t="shared" si="36"/>
        <v>1702.693</v>
      </c>
      <c r="BO32">
        <f t="shared" si="36"/>
        <v>1753.77379</v>
      </c>
      <c r="BP32">
        <f t="shared" si="36"/>
        <v>1806.3870036999999</v>
      </c>
      <c r="BQ32">
        <f t="shared" ref="BQ32:BR32" si="54">+BP32*1.03</f>
        <v>1860.578613811</v>
      </c>
      <c r="BR32">
        <f t="shared" si="54"/>
        <v>1916.3959722253301</v>
      </c>
    </row>
    <row r="33" spans="1:70" ht="28.5" customHeight="1">
      <c r="A33" s="80" t="s">
        <v>121</v>
      </c>
      <c r="B33" s="85">
        <v>21</v>
      </c>
      <c r="C33" s="96">
        <v>1705.73</v>
      </c>
      <c r="D33" s="90" t="s">
        <v>122</v>
      </c>
      <c r="E33" s="79" t="s">
        <v>1080</v>
      </c>
      <c r="F33" s="269" t="s">
        <v>121</v>
      </c>
      <c r="G33" s="110"/>
      <c r="H33" s="110"/>
      <c r="I33" s="733"/>
      <c r="J33" s="597" t="s">
        <v>123</v>
      </c>
      <c r="K33" s="734" t="s">
        <v>1074</v>
      </c>
      <c r="L33" s="734"/>
      <c r="M33" s="734"/>
      <c r="N33" s="734"/>
      <c r="O33" s="734"/>
      <c r="P33" s="734"/>
      <c r="Q33" s="734"/>
      <c r="R33" s="736"/>
      <c r="S33" s="110"/>
      <c r="T33" s="110"/>
      <c r="U33" s="110"/>
      <c r="V33" s="110"/>
      <c r="W33" s="110"/>
      <c r="X33" s="110"/>
      <c r="Y33" s="110"/>
      <c r="Z33" s="110"/>
      <c r="AA33" s="110"/>
      <c r="AB33" s="110"/>
      <c r="BK33" s="78" t="str">
        <f t="shared" si="33"/>
        <v>6-7</v>
      </c>
      <c r="BL33" s="85">
        <f t="shared" si="34"/>
        <v>21</v>
      </c>
      <c r="BM33" s="490">
        <f t="shared" si="35"/>
        <v>1705.73</v>
      </c>
      <c r="BN33">
        <f t="shared" si="36"/>
        <v>1756.9019000000001</v>
      </c>
      <c r="BO33">
        <f t="shared" si="36"/>
        <v>1809.6089570000001</v>
      </c>
      <c r="BP33">
        <f t="shared" si="36"/>
        <v>1863.8972257100002</v>
      </c>
      <c r="BQ33">
        <f t="shared" ref="BQ33:BR33" si="55">+BP33*1.03</f>
        <v>1919.8141424813002</v>
      </c>
      <c r="BR33">
        <f t="shared" si="55"/>
        <v>1977.4085667557392</v>
      </c>
    </row>
    <row r="34" spans="1:70" ht="28.5" customHeight="1">
      <c r="A34" s="80" t="s">
        <v>121</v>
      </c>
      <c r="B34" s="85">
        <v>22</v>
      </c>
      <c r="C34" s="96">
        <v>1758.3600000000001</v>
      </c>
      <c r="D34" s="90" t="s">
        <v>122</v>
      </c>
      <c r="E34" s="79" t="s">
        <v>1080</v>
      </c>
      <c r="F34" s="269" t="s">
        <v>121</v>
      </c>
      <c r="G34" s="110"/>
      <c r="H34" s="110"/>
      <c r="I34" s="733"/>
      <c r="J34" s="597" t="s">
        <v>125</v>
      </c>
      <c r="K34" s="734" t="s">
        <v>1075</v>
      </c>
      <c r="L34" s="734"/>
      <c r="M34" s="734"/>
      <c r="N34" s="734"/>
      <c r="O34" s="734"/>
      <c r="P34" s="734"/>
      <c r="Q34" s="734"/>
      <c r="R34" s="736"/>
      <c r="S34" s="110"/>
      <c r="T34" s="110"/>
      <c r="U34" s="110"/>
      <c r="V34" s="110"/>
      <c r="W34" s="110"/>
      <c r="X34" s="110"/>
      <c r="Y34" s="110"/>
      <c r="Z34" s="110"/>
      <c r="AA34" s="110"/>
      <c r="AB34" s="110"/>
      <c r="BK34" s="78" t="str">
        <f t="shared" si="33"/>
        <v>6-7</v>
      </c>
      <c r="BL34" s="85">
        <f t="shared" si="34"/>
        <v>22</v>
      </c>
      <c r="BM34" s="490">
        <f t="shared" si="35"/>
        <v>1758.3600000000001</v>
      </c>
      <c r="BN34">
        <f t="shared" si="36"/>
        <v>1811.1108000000002</v>
      </c>
      <c r="BO34">
        <f t="shared" si="36"/>
        <v>1865.4441240000001</v>
      </c>
      <c r="BP34">
        <f t="shared" si="36"/>
        <v>1921.4074477200002</v>
      </c>
      <c r="BQ34">
        <f t="shared" ref="BQ34:BR34" si="56">+BP34*1.03</f>
        <v>1979.0496711516003</v>
      </c>
      <c r="BR34">
        <f t="shared" si="56"/>
        <v>2038.4211612861484</v>
      </c>
    </row>
    <row r="35" spans="1:70" ht="28.5" customHeight="1">
      <c r="A35" s="80" t="s">
        <v>121</v>
      </c>
      <c r="B35" s="85">
        <v>23</v>
      </c>
      <c r="C35" s="96">
        <v>1810.9900000000002</v>
      </c>
      <c r="D35" s="90" t="s">
        <v>122</v>
      </c>
      <c r="E35" s="79" t="s">
        <v>1080</v>
      </c>
      <c r="F35" s="269" t="s">
        <v>121</v>
      </c>
      <c r="G35" s="110"/>
      <c r="H35" s="110"/>
      <c r="I35" s="733"/>
      <c r="J35" s="597" t="s">
        <v>127</v>
      </c>
      <c r="K35" s="734" t="s">
        <v>1076</v>
      </c>
      <c r="L35" s="734"/>
      <c r="M35" s="734"/>
      <c r="N35" s="734"/>
      <c r="O35" s="734"/>
      <c r="P35" s="734"/>
      <c r="Q35" s="734"/>
      <c r="R35" s="736"/>
      <c r="S35" s="110"/>
      <c r="T35" s="110"/>
      <c r="U35" s="110"/>
      <c r="V35" s="110"/>
      <c r="W35" s="110"/>
      <c r="X35" s="110"/>
      <c r="Y35" s="110"/>
      <c r="Z35" s="110"/>
      <c r="AA35" s="110"/>
      <c r="AB35" s="110"/>
      <c r="BK35" s="78" t="str">
        <f t="shared" si="33"/>
        <v>6-7</v>
      </c>
      <c r="BL35" s="85">
        <f t="shared" si="34"/>
        <v>23</v>
      </c>
      <c r="BM35" s="490">
        <f t="shared" si="35"/>
        <v>1810.9900000000002</v>
      </c>
      <c r="BN35">
        <f t="shared" si="36"/>
        <v>1865.3197000000002</v>
      </c>
      <c r="BO35">
        <f t="shared" si="36"/>
        <v>1921.2792910000003</v>
      </c>
      <c r="BP35">
        <f t="shared" si="36"/>
        <v>1978.9176697300004</v>
      </c>
      <c r="BQ35">
        <f t="shared" ref="BQ35:BR35" si="57">+BP35*1.03</f>
        <v>2038.2851998219005</v>
      </c>
      <c r="BR35">
        <f t="shared" si="57"/>
        <v>2099.4337558165576</v>
      </c>
    </row>
    <row r="36" spans="1:70" ht="28.5" customHeight="1">
      <c r="A36" s="80" t="s">
        <v>121</v>
      </c>
      <c r="B36" s="85">
        <v>24</v>
      </c>
      <c r="C36" s="96">
        <v>1863.6223</v>
      </c>
      <c r="D36" s="91"/>
      <c r="E36" s="79" t="s">
        <v>1080</v>
      </c>
      <c r="F36" s="269" t="s">
        <v>121</v>
      </c>
      <c r="G36" s="110"/>
      <c r="H36" s="110"/>
      <c r="I36" s="733"/>
      <c r="J36" s="597" t="s">
        <v>132</v>
      </c>
      <c r="K36" s="734" t="s">
        <v>1077</v>
      </c>
      <c r="L36" s="734"/>
      <c r="M36" s="734"/>
      <c r="N36" s="734"/>
      <c r="O36" s="734"/>
      <c r="P36" s="734"/>
      <c r="Q36" s="734"/>
      <c r="R36" s="736"/>
      <c r="S36" s="110"/>
      <c r="T36" s="110"/>
      <c r="U36" s="110"/>
      <c r="V36" s="110"/>
      <c r="W36" s="110"/>
      <c r="X36" s="110"/>
      <c r="Y36" s="110"/>
      <c r="Z36" s="110"/>
      <c r="AA36" s="110"/>
      <c r="AB36" s="110"/>
      <c r="BK36" s="78" t="str">
        <f t="shared" si="33"/>
        <v>6-7</v>
      </c>
      <c r="BL36" s="85">
        <f t="shared" si="34"/>
        <v>24</v>
      </c>
      <c r="BM36" s="490">
        <f t="shared" si="35"/>
        <v>1863.6223</v>
      </c>
      <c r="BN36">
        <f t="shared" si="36"/>
        <v>1919.5309690000001</v>
      </c>
      <c r="BO36">
        <f t="shared" si="36"/>
        <v>1977.1168980700002</v>
      </c>
      <c r="BP36">
        <f t="shared" si="36"/>
        <v>2036.4304050121002</v>
      </c>
      <c r="BQ36">
        <f t="shared" ref="BQ36:BR36" si="58">+BP36*1.03</f>
        <v>2097.5233171624632</v>
      </c>
      <c r="BR36">
        <f t="shared" si="58"/>
        <v>2160.4490166773371</v>
      </c>
    </row>
    <row r="37" spans="1:70" ht="28.5" customHeight="1">
      <c r="A37" s="80" t="s">
        <v>121</v>
      </c>
      <c r="B37" s="85">
        <v>25</v>
      </c>
      <c r="C37" s="96">
        <v>1917.83</v>
      </c>
      <c r="D37" s="92"/>
      <c r="E37" s="79" t="s">
        <v>1080</v>
      </c>
      <c r="F37" s="269" t="s">
        <v>121</v>
      </c>
      <c r="G37" s="110"/>
      <c r="H37" s="110"/>
      <c r="I37" s="733"/>
      <c r="J37" s="597" t="s">
        <v>139</v>
      </c>
      <c r="K37" s="734" t="s">
        <v>1078</v>
      </c>
      <c r="L37" s="734"/>
      <c r="M37" s="734"/>
      <c r="N37" s="734"/>
      <c r="O37" s="734"/>
      <c r="P37" s="734"/>
      <c r="Q37" s="734"/>
      <c r="R37" s="737"/>
      <c r="S37" s="110"/>
      <c r="T37" s="110"/>
      <c r="U37" s="110"/>
      <c r="V37" s="110"/>
      <c r="W37" s="110"/>
      <c r="X37" s="110"/>
      <c r="Y37" s="110"/>
      <c r="Z37" s="110"/>
      <c r="AA37" s="110"/>
      <c r="AB37" s="110"/>
      <c r="BK37" s="78" t="str">
        <f t="shared" si="33"/>
        <v>6-7</v>
      </c>
      <c r="BL37" s="85">
        <f t="shared" si="34"/>
        <v>25</v>
      </c>
      <c r="BM37" s="490">
        <f t="shared" si="35"/>
        <v>1917.83</v>
      </c>
      <c r="BN37">
        <f t="shared" si="36"/>
        <v>1975.3649</v>
      </c>
      <c r="BO37">
        <f t="shared" si="36"/>
        <v>2034.625847</v>
      </c>
      <c r="BP37">
        <f t="shared" si="36"/>
        <v>2095.66462241</v>
      </c>
      <c r="BQ37">
        <f t="shared" ref="BQ37:BR37" si="59">+BP37*1.03</f>
        <v>2158.5345610823001</v>
      </c>
      <c r="BR37">
        <f t="shared" si="59"/>
        <v>2223.290597914769</v>
      </c>
    </row>
    <row r="38" spans="1:70" ht="28.5" customHeight="1">
      <c r="A38" s="81" t="s">
        <v>121</v>
      </c>
      <c r="B38" s="85">
        <v>26</v>
      </c>
      <c r="C38" s="96">
        <v>1972.04</v>
      </c>
      <c r="D38" s="93" t="s">
        <v>123</v>
      </c>
      <c r="E38" s="79" t="s">
        <v>1080</v>
      </c>
      <c r="F38" s="269" t="s">
        <v>121</v>
      </c>
      <c r="G38" s="110"/>
      <c r="H38" s="110"/>
      <c r="I38" s="110"/>
      <c r="J38" s="110"/>
      <c r="K38" s="110"/>
      <c r="L38" s="110"/>
      <c r="M38" s="110"/>
      <c r="N38" s="110"/>
      <c r="O38" s="110"/>
      <c r="P38" s="110"/>
      <c r="Q38" s="110"/>
      <c r="R38" s="110"/>
      <c r="S38" s="110"/>
      <c r="T38" s="110"/>
      <c r="U38" s="110"/>
      <c r="V38" s="110"/>
      <c r="W38" s="110"/>
      <c r="X38" s="110"/>
      <c r="Y38" s="110"/>
      <c r="Z38" s="110"/>
      <c r="AA38" s="110"/>
      <c r="AB38" s="110"/>
      <c r="BK38" s="78" t="str">
        <f t="shared" si="33"/>
        <v>6-7</v>
      </c>
      <c r="BL38" s="85">
        <f t="shared" si="34"/>
        <v>26</v>
      </c>
      <c r="BM38" s="490">
        <f t="shared" si="35"/>
        <v>1972.04</v>
      </c>
      <c r="BN38">
        <f t="shared" si="36"/>
        <v>2031.2012</v>
      </c>
      <c r="BO38">
        <f t="shared" si="36"/>
        <v>2092.137236</v>
      </c>
      <c r="BP38">
        <f t="shared" si="36"/>
        <v>2154.9013530800003</v>
      </c>
      <c r="BQ38">
        <f t="shared" ref="BQ38:BR38" si="60">+BP38*1.03</f>
        <v>2219.5483936724004</v>
      </c>
      <c r="BR38">
        <f t="shared" si="60"/>
        <v>2286.1348454825725</v>
      </c>
    </row>
    <row r="39" spans="1:70" ht="28.5" customHeight="1">
      <c r="A39" s="80" t="s">
        <v>121</v>
      </c>
      <c r="B39" s="85">
        <v>27</v>
      </c>
      <c r="C39" s="96">
        <v>2026.26</v>
      </c>
      <c r="D39" s="90" t="s">
        <v>123</v>
      </c>
      <c r="E39" s="79" t="s">
        <v>1080</v>
      </c>
      <c r="F39" s="269" t="s">
        <v>121</v>
      </c>
      <c r="G39" s="110"/>
      <c r="H39" s="110"/>
      <c r="I39" s="110"/>
      <c r="J39" s="110"/>
      <c r="K39" s="110"/>
      <c r="L39" s="110"/>
      <c r="M39" s="110"/>
      <c r="N39" s="110"/>
      <c r="O39" s="110"/>
      <c r="P39" s="110"/>
      <c r="Q39" s="110"/>
      <c r="R39" s="110"/>
      <c r="S39" s="110"/>
      <c r="T39" s="110"/>
      <c r="U39" s="110"/>
      <c r="V39" s="110"/>
      <c r="W39" s="110"/>
      <c r="X39" s="110"/>
      <c r="Y39" s="110"/>
      <c r="Z39" s="110"/>
      <c r="AA39" s="110"/>
      <c r="AB39" s="110"/>
      <c r="BK39" s="78" t="str">
        <f t="shared" si="33"/>
        <v>6-7</v>
      </c>
      <c r="BL39" s="85">
        <f t="shared" si="34"/>
        <v>27</v>
      </c>
      <c r="BM39" s="490">
        <f t="shared" si="35"/>
        <v>2026.26</v>
      </c>
      <c r="BN39">
        <f t="shared" si="36"/>
        <v>2087.0477999999998</v>
      </c>
      <c r="BO39">
        <f t="shared" si="36"/>
        <v>2149.6592339999997</v>
      </c>
      <c r="BP39">
        <f t="shared" si="36"/>
        <v>2214.1490110199998</v>
      </c>
      <c r="BQ39">
        <f t="shared" ref="BQ39:BR39" si="61">+BP39*1.03</f>
        <v>2280.5734813505996</v>
      </c>
      <c r="BR39">
        <f t="shared" si="61"/>
        <v>2348.9906857911178</v>
      </c>
    </row>
    <row r="40" spans="1:70" ht="28.5" customHeight="1">
      <c r="A40" s="80" t="s">
        <v>121</v>
      </c>
      <c r="B40" s="85">
        <v>28</v>
      </c>
      <c r="C40" s="96">
        <v>2080.4700000000003</v>
      </c>
      <c r="D40" s="90" t="s">
        <v>123</v>
      </c>
      <c r="E40" s="79" t="s">
        <v>1080</v>
      </c>
      <c r="F40" s="269" t="s">
        <v>121</v>
      </c>
      <c r="G40" s="110"/>
      <c r="H40" s="110"/>
      <c r="I40" s="110"/>
      <c r="J40" s="110"/>
      <c r="K40" s="110"/>
      <c r="L40" s="110"/>
      <c r="M40" s="110"/>
      <c r="N40" s="110"/>
      <c r="O40" s="110"/>
      <c r="P40" s="110"/>
      <c r="Q40" s="110"/>
      <c r="R40" s="110"/>
      <c r="S40" s="110"/>
      <c r="T40" s="110"/>
      <c r="U40" s="110"/>
      <c r="V40" s="110"/>
      <c r="W40" s="110"/>
      <c r="X40" s="110"/>
      <c r="Y40" s="110"/>
      <c r="Z40" s="110"/>
      <c r="AA40" s="110"/>
      <c r="AB40" s="110"/>
      <c r="BK40" s="78" t="str">
        <f t="shared" si="33"/>
        <v>6-7</v>
      </c>
      <c r="BL40" s="85">
        <f t="shared" si="34"/>
        <v>28</v>
      </c>
      <c r="BM40" s="490">
        <f t="shared" si="35"/>
        <v>2080.4700000000003</v>
      </c>
      <c r="BN40">
        <f t="shared" si="36"/>
        <v>2142.8841000000002</v>
      </c>
      <c r="BO40">
        <f t="shared" si="36"/>
        <v>2207.1706230000004</v>
      </c>
      <c r="BP40">
        <f t="shared" si="36"/>
        <v>2273.3857416900005</v>
      </c>
      <c r="BQ40">
        <f t="shared" ref="BQ40:BR40" si="62">+BP40*1.03</f>
        <v>2341.5873139407004</v>
      </c>
      <c r="BR40">
        <f t="shared" si="62"/>
        <v>2411.8349333589213</v>
      </c>
    </row>
    <row r="41" spans="1:70" ht="28.5" customHeight="1">
      <c r="A41" s="80" t="s">
        <v>121</v>
      </c>
      <c r="B41" s="85">
        <v>29</v>
      </c>
      <c r="C41" s="96">
        <v>2134.6873999999998</v>
      </c>
      <c r="D41" s="90" t="s">
        <v>123</v>
      </c>
      <c r="E41" s="79" t="s">
        <v>1080</v>
      </c>
      <c r="F41" s="269" t="s">
        <v>121</v>
      </c>
      <c r="G41" s="110"/>
      <c r="H41" s="110"/>
      <c r="I41" s="110"/>
      <c r="J41" s="110"/>
      <c r="K41" s="110"/>
      <c r="L41" s="110"/>
      <c r="M41" s="110"/>
      <c r="N41" s="110"/>
      <c r="O41" s="110"/>
      <c r="P41" s="110"/>
      <c r="Q41" s="110"/>
      <c r="R41" s="110"/>
      <c r="S41" s="110"/>
      <c r="T41" s="110"/>
      <c r="U41" s="110"/>
      <c r="V41" s="110"/>
      <c r="W41" s="110"/>
      <c r="X41" s="110"/>
      <c r="Y41" s="110"/>
      <c r="Z41" s="110"/>
      <c r="AA41" s="110"/>
      <c r="AB41" s="110"/>
      <c r="BK41" s="78" t="str">
        <f t="shared" si="33"/>
        <v>6-7</v>
      </c>
      <c r="BL41" s="85">
        <f t="shared" si="34"/>
        <v>29</v>
      </c>
      <c r="BM41" s="490">
        <f t="shared" si="35"/>
        <v>2134.6873999999998</v>
      </c>
      <c r="BN41">
        <f t="shared" si="36"/>
        <v>2198.7280219999998</v>
      </c>
      <c r="BO41">
        <f t="shared" si="36"/>
        <v>2264.68986266</v>
      </c>
      <c r="BP41">
        <f t="shared" si="36"/>
        <v>2332.6305585397999</v>
      </c>
      <c r="BQ41">
        <f t="shared" ref="BQ41:BR41" si="63">+BP41*1.03</f>
        <v>2402.6094752959939</v>
      </c>
      <c r="BR41">
        <f t="shared" si="63"/>
        <v>2474.687759554874</v>
      </c>
    </row>
    <row r="42" spans="1:70" ht="28.5" customHeight="1">
      <c r="A42" s="80" t="s">
        <v>121</v>
      </c>
      <c r="B42" s="85">
        <v>30</v>
      </c>
      <c r="C42" s="96">
        <v>2188.8962999999999</v>
      </c>
      <c r="D42" s="90" t="s">
        <v>123</v>
      </c>
      <c r="E42" s="79" t="s">
        <v>1080</v>
      </c>
      <c r="F42" s="269" t="s">
        <v>121</v>
      </c>
      <c r="G42" s="110"/>
      <c r="H42" s="110"/>
      <c r="I42" s="110"/>
      <c r="J42" s="110"/>
      <c r="K42" s="110"/>
      <c r="L42" s="110"/>
      <c r="M42" s="110"/>
      <c r="N42" s="110"/>
      <c r="O42" s="110"/>
      <c r="P42" s="110"/>
      <c r="Q42" s="110"/>
      <c r="R42" s="110"/>
      <c r="S42" s="110"/>
      <c r="T42" s="110"/>
      <c r="U42" s="110"/>
      <c r="V42" s="110"/>
      <c r="W42" s="110"/>
      <c r="X42" s="110"/>
      <c r="Y42" s="110"/>
      <c r="Z42" s="110"/>
      <c r="AA42" s="110"/>
      <c r="AB42" s="110"/>
      <c r="BK42" s="78" t="str">
        <f t="shared" si="33"/>
        <v>6-7</v>
      </c>
      <c r="BL42" s="85">
        <f t="shared" si="34"/>
        <v>30</v>
      </c>
      <c r="BM42" s="490">
        <f t="shared" si="35"/>
        <v>2188.8962999999999</v>
      </c>
      <c r="BN42">
        <f t="shared" si="36"/>
        <v>2254.563189</v>
      </c>
      <c r="BO42">
        <f t="shared" si="36"/>
        <v>2322.2000846700003</v>
      </c>
      <c r="BP42">
        <f t="shared" si="36"/>
        <v>2391.8660872101004</v>
      </c>
      <c r="BQ42">
        <f t="shared" ref="BQ42:BR42" si="64">+BP42*1.03</f>
        <v>2463.6220698264037</v>
      </c>
      <c r="BR42">
        <f t="shared" si="64"/>
        <v>2537.5307319211961</v>
      </c>
    </row>
    <row r="43" spans="1:70" ht="28.5" customHeight="1">
      <c r="A43" s="80" t="s">
        <v>124</v>
      </c>
      <c r="B43" s="85">
        <v>33</v>
      </c>
      <c r="C43" s="96">
        <v>2351.5333000000001</v>
      </c>
      <c r="D43" s="90" t="s">
        <v>125</v>
      </c>
      <c r="E43" s="79" t="s">
        <v>1081</v>
      </c>
      <c r="F43" s="269" t="s">
        <v>124</v>
      </c>
      <c r="G43" s="110"/>
      <c r="H43" s="110"/>
      <c r="I43" s="110"/>
      <c r="J43" s="110"/>
      <c r="K43" s="110"/>
      <c r="L43" s="110"/>
      <c r="M43" s="110"/>
      <c r="N43" s="110"/>
      <c r="O43" s="110"/>
      <c r="P43" s="110"/>
      <c r="Q43" s="110"/>
      <c r="R43" s="110"/>
      <c r="S43" s="110"/>
      <c r="T43" s="110"/>
      <c r="U43" s="110"/>
      <c r="V43" s="110"/>
      <c r="W43" s="110"/>
      <c r="X43" s="110"/>
      <c r="Y43" s="110"/>
      <c r="Z43" s="110"/>
      <c r="AA43" s="110"/>
      <c r="AB43" s="110"/>
      <c r="BK43" s="78" t="str">
        <f t="shared" si="33"/>
        <v>8</v>
      </c>
      <c r="BL43" s="85">
        <f t="shared" si="34"/>
        <v>33</v>
      </c>
      <c r="BM43" s="490">
        <f t="shared" si="35"/>
        <v>2351.5333000000001</v>
      </c>
      <c r="BN43">
        <f t="shared" si="36"/>
        <v>2422.079299</v>
      </c>
      <c r="BO43">
        <f t="shared" si="36"/>
        <v>2494.7416779700002</v>
      </c>
      <c r="BP43">
        <f t="shared" si="36"/>
        <v>2569.5839283091004</v>
      </c>
      <c r="BQ43">
        <f t="shared" ref="BQ43:BR43" si="65">+BP43*1.03</f>
        <v>2646.6714461583733</v>
      </c>
      <c r="BR43">
        <f t="shared" si="65"/>
        <v>2726.0715895431244</v>
      </c>
    </row>
    <row r="44" spans="1:70" ht="28.5" customHeight="1">
      <c r="A44" s="80" t="s">
        <v>124</v>
      </c>
      <c r="B44" s="85">
        <v>38</v>
      </c>
      <c r="C44" s="96">
        <v>2622.5880999999999</v>
      </c>
      <c r="D44" s="90" t="s">
        <v>125</v>
      </c>
      <c r="E44" s="79" t="s">
        <v>1062</v>
      </c>
      <c r="F44" s="269" t="s">
        <v>124</v>
      </c>
      <c r="G44" s="110"/>
      <c r="H44" s="110"/>
      <c r="I44" s="110"/>
      <c r="J44" s="110"/>
      <c r="K44" s="110"/>
      <c r="L44" s="110"/>
      <c r="M44" s="110"/>
      <c r="N44" s="110"/>
      <c r="O44" s="110"/>
      <c r="P44" s="110"/>
      <c r="Q44" s="110"/>
      <c r="R44" s="110"/>
      <c r="S44" s="110"/>
      <c r="T44" s="110"/>
      <c r="U44" s="110"/>
      <c r="V44" s="110"/>
      <c r="W44" s="110"/>
      <c r="X44" s="110"/>
      <c r="Y44" s="110"/>
      <c r="Z44" s="110"/>
      <c r="AA44" s="110"/>
      <c r="AB44" s="110"/>
      <c r="BK44" s="78" t="str">
        <f t="shared" si="33"/>
        <v>8</v>
      </c>
      <c r="BL44" s="85">
        <f t="shared" si="34"/>
        <v>38</v>
      </c>
      <c r="BM44" s="490">
        <f t="shared" si="35"/>
        <v>2622.5880999999999</v>
      </c>
      <c r="BN44">
        <f t="shared" si="36"/>
        <v>2701.2657429999999</v>
      </c>
      <c r="BO44">
        <f t="shared" si="36"/>
        <v>2782.3037152900001</v>
      </c>
      <c r="BP44">
        <f t="shared" si="36"/>
        <v>2865.7728267487</v>
      </c>
      <c r="BQ44">
        <f t="shared" ref="BQ44:BR44" si="66">+BP44*1.03</f>
        <v>2951.7460115511612</v>
      </c>
      <c r="BR44">
        <f t="shared" si="66"/>
        <v>3040.2983918976961</v>
      </c>
    </row>
    <row r="45" spans="1:70" ht="28.5" customHeight="1">
      <c r="A45" s="80" t="s">
        <v>124</v>
      </c>
      <c r="B45" s="85">
        <v>44</v>
      </c>
      <c r="C45" s="96">
        <v>2956.03</v>
      </c>
      <c r="D45" s="90" t="s">
        <v>125</v>
      </c>
      <c r="E45" s="79" t="s">
        <v>1081</v>
      </c>
      <c r="F45" s="269" t="s">
        <v>124</v>
      </c>
      <c r="G45" s="110"/>
      <c r="H45" s="110"/>
      <c r="I45" s="110"/>
      <c r="J45" s="110"/>
      <c r="K45" s="110"/>
      <c r="L45" s="110"/>
      <c r="M45" s="110"/>
      <c r="N45" s="110"/>
      <c r="O45" s="110"/>
      <c r="P45" s="110"/>
      <c r="Q45" s="110"/>
      <c r="R45" s="110"/>
      <c r="S45" s="110"/>
      <c r="T45" s="110"/>
      <c r="U45" s="110"/>
      <c r="V45" s="110"/>
      <c r="W45" s="110"/>
      <c r="X45" s="110"/>
      <c r="Y45" s="110"/>
      <c r="Z45" s="110"/>
      <c r="AA45" s="110"/>
      <c r="AB45" s="110"/>
      <c r="BK45" s="78" t="str">
        <f t="shared" si="33"/>
        <v>8</v>
      </c>
      <c r="BL45" s="85">
        <f t="shared" si="34"/>
        <v>44</v>
      </c>
      <c r="BM45" s="490">
        <f t="shared" si="35"/>
        <v>2956.03</v>
      </c>
      <c r="BN45">
        <f t="shared" si="36"/>
        <v>3044.7109000000005</v>
      </c>
      <c r="BO45">
        <f t="shared" si="36"/>
        <v>3136.0522270000006</v>
      </c>
      <c r="BP45">
        <f t="shared" si="36"/>
        <v>3230.1337938100005</v>
      </c>
      <c r="BQ45">
        <f t="shared" ref="BQ45:BR45" si="67">+BP45*1.03</f>
        <v>3327.0378076243005</v>
      </c>
      <c r="BR45">
        <f t="shared" si="67"/>
        <v>3426.8489418530298</v>
      </c>
    </row>
    <row r="46" spans="1:70" ht="28.5" customHeight="1">
      <c r="A46" s="80" t="s">
        <v>124</v>
      </c>
      <c r="B46" s="85">
        <v>49</v>
      </c>
      <c r="C46" s="96">
        <v>3238.4410200000007</v>
      </c>
      <c r="D46" s="90" t="s">
        <v>125</v>
      </c>
      <c r="E46" s="79" t="s">
        <v>1062</v>
      </c>
      <c r="F46" s="269" t="s">
        <v>124</v>
      </c>
      <c r="G46" s="110"/>
      <c r="H46" s="110"/>
      <c r="I46" s="110"/>
      <c r="J46" s="110"/>
      <c r="K46" s="110"/>
      <c r="L46" s="110"/>
      <c r="M46" s="110"/>
      <c r="N46" s="110"/>
      <c r="O46" s="110"/>
      <c r="P46" s="110"/>
      <c r="Q46" s="110"/>
      <c r="R46" s="110"/>
      <c r="S46" s="110"/>
      <c r="T46" s="110"/>
      <c r="U46" s="110"/>
      <c r="V46" s="110"/>
      <c r="W46" s="110"/>
      <c r="X46" s="110"/>
      <c r="Y46" s="110"/>
      <c r="Z46" s="110"/>
      <c r="AA46" s="110"/>
      <c r="AB46" s="110"/>
      <c r="BK46" s="78" t="str">
        <f t="shared" si="33"/>
        <v>8</v>
      </c>
      <c r="BL46" s="85">
        <f t="shared" si="34"/>
        <v>49</v>
      </c>
      <c r="BM46" s="490">
        <f t="shared" si="35"/>
        <v>3238.4410200000007</v>
      </c>
      <c r="BN46">
        <f t="shared" si="36"/>
        <v>3335.5942506000006</v>
      </c>
      <c r="BO46">
        <f t="shared" si="36"/>
        <v>3435.6620781180009</v>
      </c>
      <c r="BP46">
        <f t="shared" si="36"/>
        <v>3538.7319404615409</v>
      </c>
      <c r="BQ46">
        <f t="shared" ref="BQ46:BR46" si="68">+BP46*1.03</f>
        <v>3644.8938986753874</v>
      </c>
      <c r="BR46">
        <f t="shared" si="68"/>
        <v>3754.2407156356489</v>
      </c>
    </row>
    <row r="47" spans="1:70" ht="28.5" customHeight="1">
      <c r="A47" s="80" t="s">
        <v>124</v>
      </c>
      <c r="B47" s="85" t="s">
        <v>126</v>
      </c>
      <c r="C47" s="96">
        <v>3501.28</v>
      </c>
      <c r="D47" s="90" t="s">
        <v>127</v>
      </c>
      <c r="E47" s="79" t="s">
        <v>128</v>
      </c>
      <c r="F47" s="269" t="s">
        <v>124</v>
      </c>
      <c r="G47" s="110"/>
      <c r="H47" s="110"/>
      <c r="I47" s="110"/>
      <c r="J47" s="110"/>
      <c r="K47" s="110"/>
      <c r="L47" s="110"/>
      <c r="M47" s="110"/>
      <c r="N47" s="110"/>
      <c r="O47" s="110"/>
      <c r="P47" s="110"/>
      <c r="Q47" s="110"/>
      <c r="R47" s="110"/>
      <c r="S47" s="110"/>
      <c r="T47" s="110"/>
      <c r="U47" s="110"/>
      <c r="V47" s="110"/>
      <c r="W47" s="110"/>
      <c r="X47" s="110"/>
      <c r="Y47" s="110"/>
      <c r="Z47" s="110"/>
      <c r="AA47" s="110"/>
      <c r="AB47" s="110"/>
      <c r="BK47" s="78" t="str">
        <f t="shared" si="33"/>
        <v>8</v>
      </c>
      <c r="BL47" s="85" t="str">
        <f t="shared" si="34"/>
        <v>ECIC IA-1</v>
      </c>
      <c r="BM47" s="490">
        <f t="shared" si="35"/>
        <v>3501.28</v>
      </c>
      <c r="BN47">
        <f t="shared" si="36"/>
        <v>3606.3184000000001</v>
      </c>
      <c r="BO47">
        <f t="shared" si="36"/>
        <v>3714.5079520000004</v>
      </c>
      <c r="BP47">
        <f t="shared" si="36"/>
        <v>3825.9431905600004</v>
      </c>
      <c r="BQ47">
        <f t="shared" ref="BQ47:BR47" si="69">+BP47*1.03</f>
        <v>3940.7214862768005</v>
      </c>
      <c r="BR47">
        <f t="shared" si="69"/>
        <v>4058.9431308651046</v>
      </c>
    </row>
    <row r="48" spans="1:70" ht="28.5" customHeight="1">
      <c r="A48" s="80" t="s">
        <v>124</v>
      </c>
      <c r="B48" s="85" t="s">
        <v>129</v>
      </c>
      <c r="C48" s="96">
        <v>3770.6</v>
      </c>
      <c r="D48" s="90" t="s">
        <v>127</v>
      </c>
      <c r="E48" s="79" t="s">
        <v>130</v>
      </c>
      <c r="F48" s="269" t="s">
        <v>124</v>
      </c>
      <c r="G48" s="110"/>
      <c r="H48" s="110"/>
      <c r="I48" s="110"/>
      <c r="J48" s="110"/>
      <c r="K48" s="110"/>
      <c r="L48" s="110"/>
      <c r="M48" s="110"/>
      <c r="N48" s="110"/>
      <c r="O48" s="110"/>
      <c r="P48" s="110"/>
      <c r="Q48" s="110"/>
      <c r="R48" s="110"/>
      <c r="S48" s="110"/>
      <c r="T48" s="110"/>
      <c r="U48" s="110"/>
      <c r="V48" s="110"/>
      <c r="W48" s="110"/>
      <c r="X48" s="110"/>
      <c r="Y48" s="110"/>
      <c r="Z48" s="110"/>
      <c r="AA48" s="110"/>
      <c r="AB48" s="110"/>
      <c r="BK48" s="78" t="str">
        <f t="shared" si="33"/>
        <v>8</v>
      </c>
      <c r="BL48" s="85" t="str">
        <f t="shared" si="34"/>
        <v>ECIC IA-2</v>
      </c>
      <c r="BM48" s="490">
        <f t="shared" si="35"/>
        <v>3770.6</v>
      </c>
      <c r="BN48">
        <f t="shared" si="36"/>
        <v>3883.7179999999998</v>
      </c>
      <c r="BO48">
        <f t="shared" si="36"/>
        <v>4000.2295399999998</v>
      </c>
      <c r="BP48">
        <f t="shared" si="36"/>
        <v>4120.2364262000001</v>
      </c>
      <c r="BQ48">
        <f t="shared" ref="BQ48:BR48" si="70">+BP48*1.03</f>
        <v>4243.8435189860002</v>
      </c>
      <c r="BR48">
        <f t="shared" si="70"/>
        <v>4371.1588245555804</v>
      </c>
    </row>
    <row r="49" spans="1:70" ht="28.5" customHeight="1">
      <c r="A49" s="80" t="s">
        <v>124</v>
      </c>
      <c r="B49" s="85" t="s">
        <v>131</v>
      </c>
      <c r="C49" s="96">
        <v>3950.17</v>
      </c>
      <c r="D49" s="90" t="s">
        <v>132</v>
      </c>
      <c r="E49" s="79"/>
      <c r="F49" s="269" t="s">
        <v>124</v>
      </c>
      <c r="G49" s="110"/>
      <c r="H49" s="110"/>
      <c r="I49" s="110"/>
      <c r="J49" s="110"/>
      <c r="K49" s="110"/>
      <c r="L49" s="110"/>
      <c r="M49" s="110"/>
      <c r="N49" s="110"/>
      <c r="O49" s="110"/>
      <c r="P49" s="110"/>
      <c r="Q49" s="110"/>
      <c r="R49" s="110"/>
      <c r="S49" s="110"/>
      <c r="T49" s="110"/>
      <c r="U49" s="110"/>
      <c r="V49" s="110"/>
      <c r="W49" s="110"/>
      <c r="X49" s="110"/>
      <c r="Y49" s="110"/>
      <c r="Z49" s="110"/>
      <c r="AA49" s="110"/>
      <c r="AB49" s="110"/>
      <c r="BK49" s="78" t="str">
        <f t="shared" si="33"/>
        <v>8</v>
      </c>
      <c r="BL49" s="85" t="str">
        <f t="shared" si="34"/>
        <v>ECIC IP-1</v>
      </c>
      <c r="BM49" s="490">
        <f t="shared" si="35"/>
        <v>3950.17</v>
      </c>
      <c r="BN49">
        <f t="shared" si="36"/>
        <v>4068.6751000000004</v>
      </c>
      <c r="BO49">
        <f t="shared" si="36"/>
        <v>4190.7353530000009</v>
      </c>
      <c r="BP49">
        <f t="shared" si="36"/>
        <v>4316.4574135900011</v>
      </c>
      <c r="BQ49">
        <f t="shared" ref="BQ49:BR49" si="71">+BP49*1.03</f>
        <v>4445.9511359977014</v>
      </c>
      <c r="BR49">
        <f t="shared" si="71"/>
        <v>4579.3296700776327</v>
      </c>
    </row>
    <row r="50" spans="1:70" ht="28.5" customHeight="1">
      <c r="A50" s="80" t="s">
        <v>124</v>
      </c>
      <c r="B50" s="85" t="s">
        <v>133</v>
      </c>
      <c r="C50" s="96">
        <v>4129.71</v>
      </c>
      <c r="D50" s="90" t="s">
        <v>134</v>
      </c>
      <c r="E50" s="79" t="s">
        <v>128</v>
      </c>
      <c r="F50" s="269" t="s">
        <v>124</v>
      </c>
      <c r="G50" s="110"/>
      <c r="H50" s="110"/>
      <c r="I50" s="110"/>
      <c r="J50" s="110"/>
      <c r="K50" s="110"/>
      <c r="L50" s="110"/>
      <c r="M50" s="110"/>
      <c r="N50" s="110"/>
      <c r="O50" s="110"/>
      <c r="P50" s="110"/>
      <c r="Q50" s="110"/>
      <c r="R50" s="110"/>
      <c r="S50" s="110"/>
      <c r="T50" s="110"/>
      <c r="U50" s="110"/>
      <c r="V50" s="110"/>
      <c r="W50" s="110"/>
      <c r="X50" s="110"/>
      <c r="Y50" s="110"/>
      <c r="Z50" s="110"/>
      <c r="AA50" s="110"/>
      <c r="AB50" s="110"/>
      <c r="BK50" s="78" t="str">
        <f t="shared" si="33"/>
        <v>8</v>
      </c>
      <c r="BL50" s="85" t="str">
        <f t="shared" si="34"/>
        <v>ECIC IA-3
ECIC IP-2</v>
      </c>
      <c r="BM50" s="490">
        <f t="shared" si="35"/>
        <v>4129.71</v>
      </c>
      <c r="BN50">
        <f t="shared" si="36"/>
        <v>4253.6013000000003</v>
      </c>
      <c r="BO50">
        <f t="shared" si="36"/>
        <v>4381.209339</v>
      </c>
      <c r="BP50">
        <f t="shared" si="36"/>
        <v>4512.6456191699999</v>
      </c>
      <c r="BQ50">
        <f t="shared" ref="BQ50:BR50" si="72">+BP50*1.03</f>
        <v>4648.0249877450997</v>
      </c>
      <c r="BR50">
        <f t="shared" si="72"/>
        <v>4787.4657373774526</v>
      </c>
    </row>
    <row r="51" spans="1:70" ht="28.5" customHeight="1">
      <c r="A51" s="80" t="s">
        <v>124</v>
      </c>
      <c r="B51" s="85" t="s">
        <v>135</v>
      </c>
      <c r="C51" s="96">
        <v>4399.05</v>
      </c>
      <c r="D51" s="90" t="s">
        <v>127</v>
      </c>
      <c r="E51" s="77"/>
      <c r="F51" s="269" t="s">
        <v>124</v>
      </c>
      <c r="G51" s="110"/>
      <c r="H51" s="110"/>
      <c r="I51" s="110"/>
      <c r="J51" s="110"/>
      <c r="K51" s="110"/>
      <c r="L51" s="110"/>
      <c r="M51" s="110"/>
      <c r="N51" s="110"/>
      <c r="O51" s="110"/>
      <c r="P51" s="110"/>
      <c r="Q51" s="110"/>
      <c r="R51" s="110"/>
      <c r="S51" s="110"/>
      <c r="T51" s="110"/>
      <c r="U51" s="110"/>
      <c r="V51" s="110"/>
      <c r="W51" s="110"/>
      <c r="X51" s="110"/>
      <c r="Y51" s="110"/>
      <c r="Z51" s="110"/>
      <c r="AA51" s="110"/>
      <c r="AB51" s="110"/>
      <c r="BK51" s="78" t="str">
        <f t="shared" si="33"/>
        <v>8</v>
      </c>
      <c r="BL51" s="85" t="str">
        <f t="shared" si="34"/>
        <v>ECIC IA-4</v>
      </c>
      <c r="BM51" s="490">
        <f t="shared" si="35"/>
        <v>4399.05</v>
      </c>
      <c r="BN51">
        <f t="shared" si="36"/>
        <v>4531.0215000000007</v>
      </c>
      <c r="BO51">
        <f t="shared" si="36"/>
        <v>4666.9521450000011</v>
      </c>
      <c r="BP51">
        <f t="shared" si="36"/>
        <v>4806.9607093500017</v>
      </c>
      <c r="BQ51">
        <f t="shared" ref="BQ51:BR51" si="73">+BP51*1.03</f>
        <v>4951.1695306305019</v>
      </c>
      <c r="BR51">
        <f t="shared" si="73"/>
        <v>5099.7046165494166</v>
      </c>
    </row>
    <row r="52" spans="1:70" ht="28.5" customHeight="1">
      <c r="A52" s="80" t="s">
        <v>124</v>
      </c>
      <c r="B52" s="85" t="s">
        <v>136</v>
      </c>
      <c r="C52" s="96">
        <v>4488.84</v>
      </c>
      <c r="D52" s="94" t="s">
        <v>132</v>
      </c>
      <c r="E52" s="79" t="s">
        <v>128</v>
      </c>
      <c r="F52" s="269" t="s">
        <v>124</v>
      </c>
      <c r="G52" s="110"/>
      <c r="H52" s="110"/>
      <c r="I52" s="110"/>
      <c r="J52" s="110"/>
      <c r="K52" s="110"/>
      <c r="L52" s="110"/>
      <c r="M52" s="110"/>
      <c r="N52" s="110"/>
      <c r="O52" s="110"/>
      <c r="P52" s="110"/>
      <c r="Q52" s="110"/>
      <c r="R52" s="110"/>
      <c r="S52" s="110"/>
      <c r="T52" s="110"/>
      <c r="U52" s="110"/>
      <c r="V52" s="110"/>
      <c r="W52" s="110"/>
      <c r="X52" s="110"/>
      <c r="Y52" s="110"/>
      <c r="Z52" s="110"/>
      <c r="AA52" s="110"/>
      <c r="AB52" s="110"/>
      <c r="BK52" s="78" t="str">
        <f t="shared" si="33"/>
        <v>8</v>
      </c>
      <c r="BL52" s="85" t="str">
        <f t="shared" si="34"/>
        <v>ECIC IP-3</v>
      </c>
      <c r="BM52" s="490">
        <f t="shared" si="35"/>
        <v>4488.84</v>
      </c>
      <c r="BN52">
        <f t="shared" si="36"/>
        <v>4623.5052000000005</v>
      </c>
      <c r="BO52">
        <f t="shared" si="36"/>
        <v>4762.2103560000005</v>
      </c>
      <c r="BP52">
        <f t="shared" si="36"/>
        <v>4905.0766666800009</v>
      </c>
      <c r="BQ52">
        <f t="shared" ref="BQ52:BR52" si="74">+BP52*1.03</f>
        <v>5052.2289666804008</v>
      </c>
      <c r="BR52">
        <f t="shared" si="74"/>
        <v>5203.7958356808131</v>
      </c>
    </row>
    <row r="53" spans="1:70" ht="28.5" customHeight="1">
      <c r="A53" s="80" t="s">
        <v>124</v>
      </c>
      <c r="B53" s="85" t="s">
        <v>137</v>
      </c>
      <c r="C53" s="96">
        <v>4668.3900000000003</v>
      </c>
      <c r="D53" s="94" t="s">
        <v>132</v>
      </c>
      <c r="E53" s="82"/>
      <c r="F53" s="269" t="s">
        <v>124</v>
      </c>
      <c r="G53" s="110"/>
      <c r="H53" s="110"/>
      <c r="I53" s="110"/>
      <c r="J53" s="110"/>
      <c r="K53" s="110"/>
      <c r="L53" s="110"/>
      <c r="M53" s="110"/>
      <c r="N53" s="110"/>
      <c r="O53" s="110"/>
      <c r="P53" s="110"/>
      <c r="Q53" s="110"/>
      <c r="R53" s="110"/>
      <c r="S53" s="110"/>
      <c r="T53" s="110"/>
      <c r="U53" s="110"/>
      <c r="V53" s="110"/>
      <c r="W53" s="110"/>
      <c r="X53" s="110"/>
      <c r="Y53" s="110"/>
      <c r="Z53" s="110"/>
      <c r="AA53" s="110"/>
      <c r="AB53" s="110"/>
      <c r="BK53" s="78" t="str">
        <f t="shared" si="33"/>
        <v>8</v>
      </c>
      <c r="BL53" s="85" t="str">
        <f t="shared" si="34"/>
        <v>ECIC IP-4</v>
      </c>
      <c r="BM53" s="490">
        <f t="shared" si="35"/>
        <v>4668.3900000000003</v>
      </c>
      <c r="BN53">
        <f t="shared" si="36"/>
        <v>4808.4417000000003</v>
      </c>
      <c r="BO53">
        <f t="shared" si="36"/>
        <v>4952.6949510000004</v>
      </c>
      <c r="BP53">
        <f t="shared" si="36"/>
        <v>5101.2757995300008</v>
      </c>
      <c r="BQ53">
        <f t="shared" ref="BQ53:BR53" si="75">+BP53*1.03</f>
        <v>5254.3140735159013</v>
      </c>
      <c r="BR53">
        <f t="shared" si="75"/>
        <v>5411.9434957213789</v>
      </c>
    </row>
    <row r="54" spans="1:70" ht="28.5" customHeight="1">
      <c r="A54" s="80" t="s">
        <v>124</v>
      </c>
      <c r="B54" s="85" t="s">
        <v>138</v>
      </c>
      <c r="C54" s="96">
        <v>5117.2545078000012</v>
      </c>
      <c r="D54" s="94" t="s">
        <v>139</v>
      </c>
      <c r="E54" s="79" t="s">
        <v>128</v>
      </c>
      <c r="F54" s="269" t="s">
        <v>124</v>
      </c>
      <c r="G54" s="110"/>
      <c r="H54" s="110"/>
      <c r="I54" s="110"/>
      <c r="J54" s="110"/>
      <c r="K54" s="110"/>
      <c r="L54" s="110"/>
      <c r="M54" s="110"/>
      <c r="N54" s="110"/>
      <c r="O54" s="110"/>
      <c r="P54" s="110"/>
      <c r="Q54" s="110"/>
      <c r="R54" s="110"/>
      <c r="S54" s="110"/>
      <c r="T54" s="110"/>
      <c r="U54" s="110"/>
      <c r="V54" s="110"/>
      <c r="W54" s="110"/>
      <c r="X54" s="110"/>
      <c r="Y54" s="110"/>
      <c r="Z54" s="110"/>
      <c r="AA54" s="110"/>
      <c r="AB54" s="110"/>
      <c r="BK54" s="78" t="str">
        <f t="shared" si="33"/>
        <v>8</v>
      </c>
      <c r="BL54" s="85" t="str">
        <f t="shared" si="34"/>
        <v>ECIC IC-1</v>
      </c>
      <c r="BM54" s="490">
        <f t="shared" si="35"/>
        <v>5117.2545078000012</v>
      </c>
      <c r="BN54">
        <f t="shared" si="36"/>
        <v>5270.7721430340016</v>
      </c>
      <c r="BO54">
        <f t="shared" si="36"/>
        <v>5428.8953073250213</v>
      </c>
      <c r="BP54">
        <f t="shared" si="36"/>
        <v>5591.7621665447723</v>
      </c>
      <c r="BQ54">
        <f t="shared" ref="BQ54:BR54" si="76">+BP54*1.03</f>
        <v>5759.5150315411156</v>
      </c>
      <c r="BR54">
        <f t="shared" si="76"/>
        <v>5932.3004824873497</v>
      </c>
    </row>
    <row r="55" spans="1:70" ht="28.5" customHeight="1">
      <c r="A55" s="80" t="s">
        <v>124</v>
      </c>
      <c r="B55" s="85" t="s">
        <v>140</v>
      </c>
      <c r="C55" s="96">
        <v>5386.59</v>
      </c>
      <c r="D55" s="94" t="s">
        <v>139</v>
      </c>
      <c r="E55" s="79" t="s">
        <v>141</v>
      </c>
      <c r="F55" s="269" t="s">
        <v>124</v>
      </c>
      <c r="G55" s="110"/>
      <c r="H55" s="110"/>
      <c r="I55" s="110"/>
      <c r="J55" s="110"/>
      <c r="K55" s="110"/>
      <c r="L55" s="110"/>
      <c r="M55" s="110"/>
      <c r="N55" s="110"/>
      <c r="O55" s="110"/>
      <c r="P55" s="110"/>
      <c r="Q55" s="110"/>
      <c r="R55" s="110"/>
      <c r="S55" s="110"/>
      <c r="T55" s="110"/>
      <c r="U55" s="110"/>
      <c r="V55" s="110"/>
      <c r="W55" s="110"/>
      <c r="X55" s="110"/>
      <c r="Y55" s="110"/>
      <c r="Z55" s="110"/>
      <c r="AA55" s="110"/>
      <c r="AB55" s="110"/>
      <c r="BK55" s="78" t="str">
        <f t="shared" si="33"/>
        <v>8</v>
      </c>
      <c r="BL55" s="85" t="str">
        <f t="shared" si="34"/>
        <v>ECIC IC-2</v>
      </c>
      <c r="BM55" s="490">
        <f t="shared" si="35"/>
        <v>5386.59</v>
      </c>
      <c r="BN55">
        <f t="shared" si="36"/>
        <v>5548.1877000000004</v>
      </c>
      <c r="BO55">
        <f t="shared" si="36"/>
        <v>5714.6333310000009</v>
      </c>
      <c r="BP55">
        <f t="shared" si="36"/>
        <v>5886.072330930001</v>
      </c>
      <c r="BQ55">
        <f t="shared" ref="BQ55:BR55" si="77">+BP55*1.03</f>
        <v>6062.6545008579014</v>
      </c>
      <c r="BR55">
        <f t="shared" si="77"/>
        <v>6244.5341358836386</v>
      </c>
    </row>
    <row r="56" spans="1:70" ht="28.5" customHeight="1">
      <c r="A56" s="80" t="s">
        <v>124</v>
      </c>
      <c r="B56" s="85" t="s">
        <v>142</v>
      </c>
      <c r="C56" s="96">
        <v>5566.13</v>
      </c>
      <c r="D56" s="94" t="s">
        <v>139</v>
      </c>
      <c r="E56" s="79" t="s">
        <v>141</v>
      </c>
      <c r="F56" s="269" t="s">
        <v>124</v>
      </c>
      <c r="G56" s="110"/>
      <c r="H56" s="110"/>
      <c r="I56" s="110"/>
      <c r="J56" s="110"/>
      <c r="K56" s="110"/>
      <c r="L56" s="110"/>
      <c r="M56" s="110"/>
      <c r="N56" s="110"/>
      <c r="O56" s="110"/>
      <c r="P56" s="110"/>
      <c r="Q56" s="110"/>
      <c r="R56" s="110"/>
      <c r="S56" s="110"/>
      <c r="T56" s="110"/>
      <c r="U56" s="110"/>
      <c r="V56" s="110"/>
      <c r="W56" s="110"/>
      <c r="X56" s="110"/>
      <c r="Y56" s="110"/>
      <c r="Z56" s="110"/>
      <c r="AA56" s="110"/>
      <c r="AB56" s="110"/>
      <c r="BK56" s="78" t="str">
        <f t="shared" si="33"/>
        <v>8</v>
      </c>
      <c r="BL56" s="85" t="str">
        <f t="shared" si="34"/>
        <v>ECIC IC-3</v>
      </c>
      <c r="BM56" s="490">
        <f t="shared" si="35"/>
        <v>5566.13</v>
      </c>
      <c r="BN56">
        <f t="shared" si="36"/>
        <v>5733.1139000000003</v>
      </c>
      <c r="BO56">
        <f t="shared" si="36"/>
        <v>5905.1073170000009</v>
      </c>
      <c r="BP56">
        <f t="shared" si="36"/>
        <v>6082.2605365100007</v>
      </c>
      <c r="BQ56">
        <f t="shared" ref="BQ56:BR56" si="78">+BP56*1.03</f>
        <v>6264.7283526053006</v>
      </c>
      <c r="BR56">
        <f t="shared" si="78"/>
        <v>6452.6702031834602</v>
      </c>
    </row>
    <row r="57" spans="1:70" ht="28.5" customHeight="1">
      <c r="A57" s="270" t="s">
        <v>124</v>
      </c>
      <c r="B57" s="271" t="s">
        <v>143</v>
      </c>
      <c r="C57" s="272">
        <v>5925.25</v>
      </c>
      <c r="D57" s="273" t="s">
        <v>139</v>
      </c>
      <c r="E57" s="274" t="s">
        <v>141</v>
      </c>
      <c r="F57" s="275" t="s">
        <v>124</v>
      </c>
      <c r="G57" s="110"/>
      <c r="H57" s="110"/>
      <c r="I57" s="110"/>
      <c r="J57" s="110"/>
      <c r="K57" s="110"/>
      <c r="L57" s="110"/>
      <c r="M57" s="110"/>
      <c r="N57" s="110"/>
      <c r="O57" s="110"/>
      <c r="P57" s="110"/>
      <c r="Q57" s="110"/>
      <c r="R57" s="110"/>
      <c r="S57" s="110"/>
      <c r="T57" s="110"/>
      <c r="U57" s="110"/>
      <c r="V57" s="110"/>
      <c r="W57" s="110"/>
      <c r="X57" s="110"/>
      <c r="Y57" s="110"/>
      <c r="Z57" s="110"/>
      <c r="AA57" s="110"/>
      <c r="AB57" s="110"/>
      <c r="BK57" s="78" t="str">
        <f t="shared" si="33"/>
        <v>8</v>
      </c>
      <c r="BL57" s="85" t="str">
        <f t="shared" si="34"/>
        <v>ECIC IC-4</v>
      </c>
      <c r="BM57" s="490">
        <f t="shared" si="35"/>
        <v>5925.25</v>
      </c>
      <c r="BN57">
        <f t="shared" si="36"/>
        <v>6103.0074999999997</v>
      </c>
      <c r="BO57">
        <f t="shared" si="36"/>
        <v>6286.0977249999996</v>
      </c>
      <c r="BP57">
        <f t="shared" si="36"/>
        <v>6474.6806567499998</v>
      </c>
      <c r="BQ57">
        <f t="shared" ref="BQ57:BR57" si="79">+BP57*1.03</f>
        <v>6668.9210764524996</v>
      </c>
      <c r="BR57">
        <f t="shared" si="79"/>
        <v>6868.9887087460747</v>
      </c>
    </row>
    <row r="58" spans="1:70">
      <c r="G58" s="110"/>
      <c r="H58" s="110"/>
      <c r="I58" s="110"/>
      <c r="J58" s="110"/>
      <c r="K58" s="110"/>
      <c r="L58" s="110"/>
      <c r="M58" s="110"/>
      <c r="N58" s="110"/>
      <c r="O58" s="110"/>
      <c r="P58" s="110"/>
      <c r="Q58" s="110"/>
      <c r="R58" s="110"/>
      <c r="S58" s="110"/>
      <c r="T58" s="110"/>
      <c r="U58" s="110"/>
      <c r="V58" s="110"/>
      <c r="W58" s="110"/>
      <c r="X58" s="110"/>
      <c r="Y58" s="110"/>
      <c r="Z58" s="110"/>
      <c r="AA58" s="110"/>
      <c r="AB58" s="110"/>
    </row>
    <row r="59" spans="1:70">
      <c r="G59" s="110"/>
      <c r="H59" s="110"/>
      <c r="I59" s="110"/>
      <c r="J59" s="110"/>
      <c r="K59" s="110"/>
      <c r="L59" s="110"/>
      <c r="M59" s="110"/>
      <c r="N59" s="110"/>
      <c r="O59" s="110"/>
      <c r="P59" s="110"/>
      <c r="Q59" s="110"/>
      <c r="R59" s="110"/>
      <c r="S59" s="110"/>
      <c r="T59" s="110"/>
      <c r="U59" s="110"/>
      <c r="V59" s="110"/>
      <c r="W59" s="110"/>
      <c r="X59" s="110"/>
      <c r="Y59" s="110"/>
      <c r="Z59" s="110"/>
      <c r="AA59" s="110"/>
      <c r="AB59" s="110"/>
    </row>
    <row r="60" spans="1:70">
      <c r="G60" s="110"/>
      <c r="H60" s="110"/>
      <c r="I60" s="110"/>
      <c r="J60" s="110"/>
      <c r="K60" s="110"/>
      <c r="L60" s="110"/>
      <c r="M60" s="110"/>
      <c r="N60" s="110"/>
      <c r="O60" s="110"/>
      <c r="P60" s="110"/>
      <c r="Q60" s="110"/>
      <c r="R60" s="110"/>
      <c r="S60" s="110"/>
      <c r="T60" s="110"/>
      <c r="U60" s="110"/>
      <c r="V60" s="110"/>
      <c r="W60" s="110"/>
      <c r="X60" s="110"/>
      <c r="Y60" s="110"/>
      <c r="Z60" s="110"/>
      <c r="AA60" s="110"/>
      <c r="AB60" s="110"/>
    </row>
    <row r="61" spans="1:70">
      <c r="G61" s="110"/>
      <c r="H61" s="110"/>
      <c r="I61" s="110"/>
      <c r="J61" s="110"/>
      <c r="K61" s="110"/>
      <c r="L61" s="110"/>
      <c r="M61" s="110"/>
      <c r="N61" s="110"/>
      <c r="O61" s="110"/>
      <c r="P61" s="110"/>
      <c r="Q61" s="110"/>
      <c r="R61" s="110"/>
      <c r="S61" s="110"/>
      <c r="T61" s="110"/>
      <c r="U61" s="110"/>
      <c r="V61" s="110"/>
      <c r="W61" s="110"/>
      <c r="X61" s="110"/>
      <c r="Y61" s="110"/>
      <c r="Z61" s="110"/>
      <c r="AA61" s="110"/>
      <c r="AB61" s="110"/>
    </row>
    <row r="62" spans="1:70">
      <c r="G62" s="110"/>
      <c r="H62" s="110"/>
      <c r="I62" s="110"/>
      <c r="J62" s="110"/>
      <c r="K62" s="110"/>
      <c r="L62" s="110"/>
      <c r="M62" s="110"/>
      <c r="N62" s="110"/>
      <c r="O62" s="110"/>
      <c r="P62" s="110"/>
      <c r="Q62" s="110"/>
      <c r="R62" s="110"/>
      <c r="S62" s="110"/>
      <c r="T62" s="110"/>
      <c r="U62" s="110"/>
      <c r="V62" s="110"/>
      <c r="W62" s="110"/>
      <c r="X62" s="110"/>
      <c r="Y62" s="110"/>
      <c r="Z62" s="110"/>
      <c r="AA62" s="110"/>
      <c r="AB62" s="110"/>
    </row>
    <row r="63" spans="1:70">
      <c r="G63" s="110"/>
      <c r="H63" s="110"/>
      <c r="I63" s="110"/>
      <c r="J63" s="110"/>
      <c r="K63" s="110"/>
      <c r="L63" s="110"/>
      <c r="M63" s="110"/>
      <c r="N63" s="110"/>
      <c r="O63" s="110"/>
      <c r="P63" s="110"/>
      <c r="Q63" s="110"/>
      <c r="R63" s="110"/>
      <c r="S63" s="110"/>
      <c r="T63" s="110"/>
      <c r="U63" s="110"/>
      <c r="V63" s="110"/>
      <c r="W63" s="110"/>
      <c r="X63" s="110"/>
      <c r="Y63" s="110"/>
      <c r="Z63" s="110"/>
      <c r="AA63" s="110"/>
      <c r="AB63" s="110"/>
    </row>
  </sheetData>
  <sheetProtection algorithmName="SHA-512" hashValue="J1LH37dhVMHaZsdZ6ZHkGNqlR7ajx8Mf6arKqanTtEOVX/JoWmBRFeW+MHLXsXVjSJswKAJs+H9heDoDv/4WSA==" saltValue="czKy6m0ogz23w7tQjNlieA==" spinCount="100000" sheet="1" objects="1" scenarios="1" autoFilter="0"/>
  <mergeCells count="32">
    <mergeCell ref="J21:Q21"/>
    <mergeCell ref="J22:Q22"/>
    <mergeCell ref="J23:Q23"/>
    <mergeCell ref="C3:K3"/>
    <mergeCell ref="L3:T3"/>
    <mergeCell ref="J17:Q17"/>
    <mergeCell ref="I16:Q16"/>
    <mergeCell ref="J18:Q18"/>
    <mergeCell ref="J19:Q19"/>
    <mergeCell ref="J20:Q20"/>
    <mergeCell ref="U3:AC3"/>
    <mergeCell ref="AN3:AN4"/>
    <mergeCell ref="AP3:BI3"/>
    <mergeCell ref="AM3:AM4"/>
    <mergeCell ref="AO3:AO4"/>
    <mergeCell ref="AD3:AL3"/>
    <mergeCell ref="I25:R25"/>
    <mergeCell ref="I26:I31"/>
    <mergeCell ref="K26:Q26"/>
    <mergeCell ref="R26:R37"/>
    <mergeCell ref="K27:Q27"/>
    <mergeCell ref="K28:Q28"/>
    <mergeCell ref="K29:Q29"/>
    <mergeCell ref="K30:Q30"/>
    <mergeCell ref="K31:Q31"/>
    <mergeCell ref="I32:I37"/>
    <mergeCell ref="K32:Q32"/>
    <mergeCell ref="K33:Q33"/>
    <mergeCell ref="K34:Q34"/>
    <mergeCell ref="K35:Q35"/>
    <mergeCell ref="K36:Q36"/>
    <mergeCell ref="K37:Q37"/>
  </mergeCells>
  <hyperlinks>
    <hyperlink ref="R26:R37" r:id="rId1" display="More information" xr:uid="{8487691A-FBEB-42F1-BE3F-58E887A5ADB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19</vt:i4>
      </vt:variant>
      <vt:variant>
        <vt:lpstr>Intervalos com Nome</vt:lpstr>
      </vt:variant>
      <vt:variant>
        <vt:i4>9</vt:i4>
      </vt:variant>
    </vt:vector>
  </HeadingPairs>
  <TitlesOfParts>
    <vt:vector size="28" baseType="lpstr">
      <vt:lpstr>Introd.</vt:lpstr>
      <vt:lpstr>Info</vt:lpstr>
      <vt:lpstr>1.G.Data</vt:lpstr>
      <vt:lpstr>1.1</vt:lpstr>
      <vt:lpstr>2.Inst.</vt:lpstr>
      <vt:lpstr>2.1</vt:lpstr>
      <vt:lpstr>3.Tasks</vt:lpstr>
      <vt:lpstr>4.Team</vt:lpstr>
      <vt:lpstr>4.1</vt:lpstr>
      <vt:lpstr>4.2</vt:lpstr>
      <vt:lpstr>CAL_BO</vt:lpstr>
      <vt:lpstr>5.Equipments</vt:lpstr>
      <vt:lpstr>Amortizações</vt:lpstr>
      <vt:lpstr>6.Task-Budget</vt:lpstr>
      <vt:lpstr>6.Other Exp. Categories</vt:lpstr>
      <vt:lpstr>7.Budget</vt:lpstr>
      <vt:lpstr>8.Timeline</vt:lpstr>
      <vt:lpstr>9.Summary</vt:lpstr>
      <vt:lpstr>10.Inquiry for innovative readi</vt:lpstr>
      <vt:lpstr>'5.Equipments'!Área_de_Impressão</vt:lpstr>
      <vt:lpstr>'6.Other Exp. Categories'!Área_de_Impressão</vt:lpstr>
      <vt:lpstr>'8.Timeline'!Área_de_Impressão</vt:lpstr>
      <vt:lpstr>Introd.!Área_de_Impressão</vt:lpstr>
      <vt:lpstr>Inst.M</vt:lpstr>
      <vt:lpstr>Rub.M</vt:lpstr>
      <vt:lpstr>Tab.M</vt:lpstr>
      <vt:lpstr>'6.Other Exp. Categories'!Títulos_de_Impressão</vt:lpstr>
      <vt:lpstr>V.M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FCiencias</dc:creator>
  <cp:lastModifiedBy>Luís Simão</cp:lastModifiedBy>
  <cp:lastPrinted>2026-02-24T13:59:35Z</cp:lastPrinted>
  <dcterms:created xsi:type="dcterms:W3CDTF">2024-12-22T19:37:32Z</dcterms:created>
  <dcterms:modified xsi:type="dcterms:W3CDTF">2026-03-02T12:11:26Z</dcterms:modified>
</cp:coreProperties>
</file>